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comments6.xml><?xml version="1.0" encoding="utf-8"?>
<comments xmlns="http://schemas.openxmlformats.org/spreadsheetml/2006/main">
  <authors>
    <author/>
  </authors>
  <commentList>
    <comment ref="BT176" authorId="0">
      <text>
        <t>Expected</t>
      </text>
    </comment>
    <comment ref="BT79" authorId="0">
      <text>
        <t>Expected</t>
      </text>
    </comment>
    <comment ref="BT10" authorId="0">
      <text>
        <t>Expected</t>
      </text>
    </comment>
    <comment ref="BT54" authorId="0">
      <text>
        <t>Expected</t>
      </text>
    </comment>
  </commentList>
</comments>
</file>

<file path=xl/sharedStrings.xml><?xml version="1.0" encoding="utf-8"?>
<sst xmlns="http://schemas.openxmlformats.org/spreadsheetml/2006/main" count="152" uniqueCount="148">
  <si>
    <t>Search Criteria:</t>
  </si>
  <si>
    <t>Downloaded on:</t>
  </si>
  <si>
    <t xml:space="preserve"> </t>
  </si>
  <si>
    <t>Created for:</t>
  </si>
  <si>
    <t>All Columns</t>
  </si>
  <si>
    <t xml:space="preserve">Deal Status: Completed; Deal Date: From: 01-Sep-2017; Deal Size: Min: 0,5M; Deal Option: Search on a full transaction; Deal Types: All VC Stages &gt; Pre/Accelerator/Incubator, Angel, Seed, Early stage VC; Verticals: 3D Printing; AdTech; AgTech; Artificial Intelligence &amp; Machine Learning; AudioTech; Autonomous cars; Big Data; CleanTech; Cryptocurrency/Blockchain; Cybersecurity; E-Commerce; EdTech; Ephemeral Content; FinTech; InsurTech; Internet of Things; LOHAS &amp; Wellness; Manufacturing; Marketing Tech; Mobile; Nanotechnology; Robotics and Drones; SaaS; Space Technology; Virtual Reality; Wearables &amp; Quantified Self; Location: Europe; Search HQ Only; </t>
  </si>
  <si>
    <t>11/30/2017</t>
  </si>
  <si>
    <t>Milda Jasaite, EarlyBird Venture Capital</t>
  </si>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</sst>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7">
    <numFmt numFmtId="165" formatCode="#,##0.00;[red](#,##0.00)"/>
    <numFmt numFmtId="166" formatCode="#,##0;[red](#,##0)"/>
    <numFmt numFmtId="167" formatCode="0000"/>
    <numFmt numFmtId="168" formatCode="dd-MMM-yyyy"/>
    <numFmt numFmtId="169" formatCode="#,##0.00&quot;%&quot;;[red]-#,##0.00&quot;%&quot;"/>
    <numFmt numFmtId="170" formatCode="#,###"/>
    <numFmt numFmtId="171" formatCode="#,##0.00x;[red]-#,##0.00x"/>
  </numFmts>
  <fonts count="800">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800">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lef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left" vertical="top" indent="1" wrapText="false"/>
    </xf>
    <xf numFmtId="0" fontId="14" fillId="6" borderId="6" xfId="0" applyFill="true" applyFont="true" applyBorder="true">
      <alignment horizontal="lef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0" fontId="17" fillId="6" borderId="6" xfId="0" applyFill="true" applyFont="true" applyBorder="true">
      <alignment horizontal="left" vertical="top" indent="1" wrapText="false"/>
    </xf>
    <xf numFmtId="0" fontId="18" fillId="6" borderId="6" xfId="0" applyFill="true" applyFont="true" applyBorder="true">
      <alignment horizontal="lef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165" fontId="21" fillId="6" borderId="6" xfId="0" applyFill="true" applyFont="true" applyBorder="true" applyNumberFormat="true">
      <alignment horizontal="righ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166" fontId="26" fillId="6" borderId="6" xfId="0" applyFill="true" applyFont="true" applyBorder="true" applyNumberFormat="true">
      <alignment horizontal="right" vertical="top" indent="1" wrapText="false"/>
    </xf>
    <xf numFmtId="0" fontId="27" fillId="6" borderId="6" xfId="0" applyFill="true" applyFont="true" applyBorder="true">
      <alignment horizontal="left" vertical="top" indent="1" wrapText="false"/>
    </xf>
    <xf numFmtId="0" fontId="28" fillId="6" borderId="6" xfId="0" applyFill="true" applyFont="true" applyBorder="true">
      <alignment horizontal="left" vertical="top" indent="1" wrapText="false"/>
    </xf>
    <xf numFmtId="167" fontId="29" fillId="6" borderId="6" xfId="0" applyFill="true" applyFont="true" applyBorder="true" applyNumberFormat="true">
      <alignment horizontal="right" vertical="top" indent="1" wrapText="false"/>
    </xf>
    <xf numFmtId="0" fontId="30" fillId="6" borderId="6" xfId="0" applyFill="true" applyFont="true" applyBorder="true">
      <alignment horizontal="left" vertical="top" indent="1" wrapText="false"/>
    </xf>
    <xf numFmtId="0" fontId="31" fillId="6" borderId="6" xfId="0" applyFill="true" applyFont="true" applyBorder="true">
      <alignment horizontal="left" vertical="top" indent="1" wrapText="true"/>
    </xf>
    <xf numFmtId="0" fontId="32" fillId="6" borderId="6" xfId="0" applyFill="true" applyFont="true" applyBorder="true">
      <alignment horizontal="left" vertical="top" indent="1" wrapText="true"/>
    </xf>
    <xf numFmtId="165" fontId="33" fillId="6" borderId="6" xfId="0" applyFill="true" applyFont="true" applyBorder="true" applyNumberFormat="true">
      <alignment horizontal="right" vertical="top" indent="1" wrapText="false"/>
    </xf>
    <xf numFmtId="165" fontId="34" fillId="6" borderId="6" xfId="0" applyFill="true" applyFont="true" applyBorder="true" applyNumberFormat="true">
      <alignment horizontal="right" vertical="top" indent="1" wrapText="false"/>
    </xf>
    <xf numFmtId="165" fontId="35" fillId="6" borderId="6" xfId="0" applyFill="true" applyFont="true" applyBorder="true" applyNumberFormat="true">
      <alignment horizontal="right" vertical="top" indent="1" wrapText="false"/>
    </xf>
    <xf numFmtId="165" fontId="36" fillId="6" borderId="6" xfId="0" applyFill="true" applyFont="true" applyBorder="true" applyNumberFormat="true">
      <alignment horizontal="right" vertical="top" indent="1" wrapText="false"/>
    </xf>
    <xf numFmtId="165" fontId="37" fillId="6" borderId="6" xfId="0" applyFill="true" applyFont="true" applyBorder="true" applyNumberFormat="true">
      <alignment horizontal="right" vertical="top" indent="1" wrapText="false"/>
    </xf>
    <xf numFmtId="0" fontId="38" fillId="6" borderId="6" xfId="0" applyFill="true" applyFont="true" applyBorder="true">
      <alignment horizontal="right" vertical="top" indent="1" wrapText="false"/>
    </xf>
    <xf numFmtId="0" fontId="39" fillId="6" borderId="6" xfId="0" applyFill="true" applyFont="true" applyBorder="true">
      <alignment horizontal="left" vertical="top" indent="1" wrapText="false"/>
    </xf>
    <xf numFmtId="0" fontId="40" fillId="6" borderId="6" xfId="0" applyFill="true" applyFont="true" applyBorder="true">
      <alignment horizontal="left" vertical="top" indent="1" wrapText="false"/>
    </xf>
    <xf numFmtId="0" fontId="41" fillId="6" borderId="6" xfId="0" applyFill="true" applyFont="true" applyBorder="true">
      <alignment horizontal="left" vertical="top" indent="1" wrapText="false"/>
    </xf>
    <xf numFmtId="0" fontId="42" fillId="6" borderId="6" xfId="0" applyFill="true" applyFont="true" applyBorder="true">
      <alignment horizontal="left" vertical="top" indent="1" wrapText="false"/>
    </xf>
    <xf numFmtId="0" fontId="43" fillId="6" borderId="6" xfId="0" applyFill="true" applyFont="true" applyBorder="true">
      <alignment horizontal="left" vertical="top" indent="1" wrapText="false"/>
    </xf>
    <xf numFmtId="0" fontId="44" fillId="6" borderId="6" xfId="0" applyFill="true" applyFont="true" applyBorder="true">
      <alignment horizontal="left" vertical="top" indent="1" wrapText="false"/>
    </xf>
    <xf numFmtId="0" fontId="45" fillId="6" borderId="6" xfId="0" applyFill="true" applyFont="true" applyBorder="true">
      <alignment horizontal="left" vertical="top" indent="1" wrapText="false"/>
    </xf>
    <xf numFmtId="0" fontId="46" fillId="6" borderId="6" xfId="0" applyFill="true" applyFont="true" applyBorder="true">
      <alignment horizontal="left" vertical="top" indent="1" wrapText="false"/>
    </xf>
    <xf numFmtId="0" fontId="47" fillId="6" borderId="6" xfId="0" applyFill="true" applyFont="true" applyBorder="true">
      <alignment horizontal="left" vertical="top" indent="1" wrapText="false"/>
    </xf>
    <xf numFmtId="0" fontId="48" fillId="6" borderId="6" xfId="0" applyFill="true" applyFont="true" applyBorder="true">
      <alignment horizontal="left" vertical="top" indent="1" wrapText="false"/>
    </xf>
    <xf numFmtId="0" fontId="49" fillId="6" borderId="6" xfId="0" applyFill="true" applyFont="true" applyBorder="true">
      <alignment horizontal="right" vertical="top" indent="1" wrapText="false"/>
    </xf>
    <xf numFmtId="0" fontId="50" fillId="6" borderId="6" xfId="0" applyFill="true" applyFont="true" applyBorder="true">
      <alignment horizontal="left" vertical="top" indent="1" wrapText="false"/>
    </xf>
    <xf numFmtId="0" fontId="51" fillId="6" borderId="6" xfId="0" applyFill="true" applyFont="true" applyBorder="true">
      <alignment horizontal="right" vertical="top" indent="1" wrapText="false"/>
    </xf>
    <xf numFmtId="0" fontId="52" fillId="6" borderId="6" xfId="0" applyFill="true" applyFont="true" applyBorder="true">
      <alignment horizontal="right" vertical="top" indent="1" wrapText="false"/>
    </xf>
    <xf numFmtId="0" fontId="53" fillId="6" borderId="6" xfId="0" applyFill="true" applyFont="true" applyBorder="true">
      <alignment horizontal="left" vertical="top" indent="1" wrapText="false"/>
    </xf>
    <xf numFmtId="0" fontId="54" fillId="6" borderId="6" xfId="0" applyFill="true" applyFont="true" applyBorder="true">
      <alignment horizontal="lef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lef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righ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left" vertical="top" indent="1" wrapText="false"/>
    </xf>
    <xf numFmtId="0" fontId="63" fillId="6" borderId="6" xfId="0" applyFill="true" applyFont="true" applyBorder="true">
      <alignment horizontal="left" vertical="top" indent="1" wrapText="false"/>
    </xf>
    <xf numFmtId="0" fontId="64" fillId="6" borderId="6" xfId="0" applyFill="true" applyFont="true" applyBorder="true">
      <alignment horizontal="left" vertical="top" indent="1" wrapText="false"/>
    </xf>
    <xf numFmtId="0" fontId="65" fillId="6" borderId="6" xfId="0" applyFill="true" applyFont="true" applyBorder="true">
      <alignment horizontal="left" vertical="top" indent="1" wrapText="false"/>
    </xf>
    <xf numFmtId="0" fontId="66" fillId="6" borderId="6" xfId="0" applyFill="true" applyFont="true" applyBorder="true">
      <alignment horizontal="left" vertical="top" indent="1" wrapText="false"/>
    </xf>
    <xf numFmtId="168" fontId="67" fillId="6" borderId="6" xfId="0" applyFill="true" applyFont="true" applyBorder="true" applyNumberFormat="true">
      <alignment horizontal="right" vertical="top" indent="1" wrapText="false"/>
    </xf>
    <xf numFmtId="165" fontId="68" fillId="6" borderId="6" xfId="0" applyFill="true" applyFont="true" applyBorder="true" applyNumberFormat="true">
      <alignment horizontal="right" vertical="top" indent="1" wrapText="false"/>
    </xf>
    <xf numFmtId="0" fontId="69" fillId="6" borderId="6" xfId="0" applyFill="true" applyFont="true" applyBorder="true">
      <alignment horizontal="left" vertical="top" indent="1" wrapText="false"/>
    </xf>
    <xf numFmtId="165" fontId="70" fillId="6" borderId="6" xfId="0" applyFill="true" applyFont="true" applyBorder="true" applyNumberFormat="true">
      <alignment horizontal="right" vertical="top" indent="1" wrapText="false"/>
    </xf>
    <xf numFmtId="0" fontId="71" fillId="6" borderId="6" xfId="0" applyFill="true" applyFont="true" applyBorder="true">
      <alignment horizontal="left" vertical="top" indent="1" wrapText="false"/>
    </xf>
    <xf numFmtId="0" fontId="72" fillId="6" borderId="6" xfId="0" applyFill="true" applyFont="true" applyBorder="true">
      <alignment horizontal="left" vertical="top" indent="1" wrapText="false"/>
    </xf>
    <xf numFmtId="0" fontId="73" fillId="6" borderId="6" xfId="0" applyFill="true" applyFont="true" applyBorder="true">
      <alignment horizontal="left" vertical="top" indent="1" wrapText="false"/>
    </xf>
    <xf numFmtId="0" fontId="74" fillId="6" borderId="6" xfId="0" applyFill="true" applyFont="true" applyBorder="true">
      <alignment horizontal="left" vertical="top" indent="1" wrapText="false"/>
    </xf>
    <xf numFmtId="0" fontId="75" fillId="6" borderId="6" xfId="0" applyFill="true" applyFont="true" applyBorder="true">
      <alignment horizontal="left" vertical="top" indent="1" wrapText="false"/>
    </xf>
    <xf numFmtId="0" fontId="76" fillId="6" borderId="6" xfId="0" applyFill="true" applyFont="true" applyBorder="true">
      <alignment horizontal="left" vertical="top" indent="1" wrapText="false"/>
    </xf>
    <xf numFmtId="0" fontId="77" fillId="6" borderId="6" xfId="0" applyFill="true" applyFont="true" applyBorder="true">
      <alignment horizontal="left" vertical="top" indent="1" wrapText="false"/>
    </xf>
    <xf numFmtId="0" fontId="78" fillId="6" borderId="6" xfId="0" applyFill="true" applyFont="true" applyBorder="true">
      <alignment horizontal="left" vertical="top" indent="1" wrapText="false"/>
    </xf>
    <xf numFmtId="0" fontId="79" fillId="6" borderId="6" xfId="0" applyFill="true" applyFont="true" applyBorder="true">
      <alignment horizontal="left" vertical="top" indent="1" wrapText="false"/>
    </xf>
    <xf numFmtId="168" fontId="80" fillId="6" borderId="6" xfId="0" applyFill="true" applyFont="true" applyBorder="true" applyNumberFormat="true">
      <alignment horizontal="right" vertical="top" indent="1" wrapText="false"/>
    </xf>
    <xf numFmtId="165" fontId="81" fillId="6" borderId="6" xfId="0" applyFill="true" applyFont="true" applyBorder="true" applyNumberFormat="true">
      <alignment horizontal="right" vertical="top" indent="1" wrapText="false"/>
    </xf>
    <xf numFmtId="0" fontId="82" fillId="6" borderId="6" xfId="0" applyFill="true" applyFont="true" applyBorder="true">
      <alignment horizontal="left" vertical="top" indent="1" wrapText="false"/>
    </xf>
    <xf numFmtId="165" fontId="83" fillId="6" borderId="6" xfId="0" applyFill="true" applyFont="true" applyBorder="true" applyNumberFormat="true">
      <alignment horizontal="right" vertical="top" indent="1" wrapText="false"/>
    </xf>
    <xf numFmtId="0" fontId="84" fillId="6" borderId="6" xfId="0" applyFill="true" applyFont="true" applyBorder="true">
      <alignment horizontal="left" vertical="top" indent="1" wrapText="false"/>
    </xf>
    <xf numFmtId="0" fontId="85" fillId="6" borderId="6" xfId="0" applyFill="true" applyFont="true" applyBorder="true">
      <alignment horizontal="left" vertical="top" indent="1" wrapText="false"/>
    </xf>
    <xf numFmtId="0" fontId="86" fillId="6" borderId="6" xfId="0" applyFill="true" applyFont="true" applyBorder="true">
      <alignment horizontal="left" vertical="top" indent="1" wrapText="false"/>
    </xf>
    <xf numFmtId="0" fontId="87" fillId="6" borderId="6" xfId="0" applyFill="true" applyFont="true" applyBorder="true">
      <alignment horizontal="left" vertical="top" indent="1" wrapText="false"/>
    </xf>
    <xf numFmtId="0" fontId="88" fillId="6" borderId="6" xfId="0" applyFill="true" applyFont="true" applyBorder="true">
      <alignment horizontal="left" vertical="top" indent="1" wrapText="false"/>
    </xf>
    <xf numFmtId="0" fontId="89" fillId="6" borderId="6" xfId="0" applyFill="true" applyFont="true" applyBorder="true">
      <alignment horizontal="left" vertical="top" indent="1" wrapText="false"/>
    </xf>
    <xf numFmtId="0" fontId="90" fillId="6" borderId="6" xfId="0" applyFill="true" applyFont="true" applyBorder="true">
      <alignment horizontal="left" vertical="top" indent="1" wrapText="false"/>
    </xf>
    <xf numFmtId="0" fontId="91" fillId="6" borderId="6" xfId="0" applyFill="true" applyFont="true" applyBorder="true">
      <alignment horizontal="left" vertical="top" indent="1" wrapText="false"/>
    </xf>
    <xf numFmtId="0" fontId="92" fillId="6" borderId="6" xfId="0" applyFill="true" applyFont="true" applyBorder="true">
      <alignment horizontal="left" vertical="top" indent="1" wrapText="false"/>
    </xf>
    <xf numFmtId="169" fontId="93" fillId="6" borderId="6" xfId="0" applyFill="true" applyFont="true" applyBorder="true" applyNumberFormat="true">
      <alignment horizontal="right" vertical="top" indent="1" wrapText="false"/>
    </xf>
    <xf numFmtId="170" fontId="94" fillId="6" borderId="6" xfId="0" applyFill="true" applyFont="true" applyBorder="true" applyNumberFormat="true">
      <alignment horizontal="right" vertical="top" indent="1" wrapText="false"/>
    </xf>
    <xf numFmtId="169" fontId="95" fillId="6" borderId="6" xfId="0" applyFill="true" applyFont="true" applyBorder="true" applyNumberFormat="true">
      <alignment horizontal="right" vertical="top" indent="1" wrapText="false"/>
    </xf>
    <xf numFmtId="169" fontId="96" fillId="6" borderId="6" xfId="0" applyFill="true" applyFont="true" applyBorder="true" applyNumberFormat="true">
      <alignment horizontal="right" vertical="top" indent="1" wrapText="false"/>
    </xf>
    <xf numFmtId="169" fontId="97" fillId="6" borderId="6" xfId="0" applyFill="true" applyFont="true" applyBorder="true" applyNumberFormat="true">
      <alignment horizontal="right" vertical="top" indent="1" wrapText="false"/>
    </xf>
    <xf numFmtId="170" fontId="98" fillId="6" borderId="6" xfId="0" applyFill="true" applyFont="true" applyBorder="true" applyNumberFormat="true">
      <alignment horizontal="right" vertical="top" indent="1" wrapText="false"/>
    </xf>
    <xf numFmtId="169" fontId="99" fillId="6" borderId="6" xfId="0" applyFill="true" applyFont="true" applyBorder="true" applyNumberFormat="true">
      <alignment horizontal="right" vertical="top" indent="1" wrapText="false"/>
    </xf>
    <xf numFmtId="170" fontId="100" fillId="6" borderId="6" xfId="0" applyFill="true" applyFont="true" applyBorder="true" applyNumberFormat="true">
      <alignment horizontal="right" vertical="top" indent="1" wrapText="false"/>
    </xf>
    <xf numFmtId="169" fontId="101" fillId="6" borderId="6" xfId="0" applyFill="true" applyFont="true" applyBorder="true" applyNumberFormat="true">
      <alignment horizontal="right" vertical="top" indent="1" wrapText="false"/>
    </xf>
    <xf numFmtId="170" fontId="102" fillId="6" borderId="6" xfId="0" applyFill="true" applyFont="true" applyBorder="true" applyNumberFormat="true">
      <alignment horizontal="right" vertical="top" indent="1" wrapText="false"/>
    </xf>
    <xf numFmtId="169" fontId="103" fillId="6" borderId="6" xfId="0" applyFill="true" applyFont="true" applyBorder="true" applyNumberFormat="true">
      <alignment horizontal="right" vertical="top" indent="1" wrapText="false"/>
    </xf>
    <xf numFmtId="170" fontId="104" fillId="6" borderId="6" xfId="0" applyFill="true" applyFont="true" applyBorder="true" applyNumberFormat="true">
      <alignment horizontal="right" vertical="top" indent="1" wrapText="false"/>
    </xf>
    <xf numFmtId="169" fontId="105" fillId="6" borderId="6" xfId="0" applyFill="true" applyFont="true" applyBorder="true" applyNumberFormat="true">
      <alignment horizontal="right" vertical="top" indent="1" wrapText="false"/>
    </xf>
    <xf numFmtId="170" fontId="106" fillId="6" borderId="6" xfId="0" applyFill="true" applyFont="true" applyBorder="true" applyNumberFormat="true">
      <alignment horizontal="right" vertical="top" indent="1" wrapText="false"/>
    </xf>
    <xf numFmtId="169" fontId="107" fillId="6" borderId="6" xfId="0" applyFill="true" applyFont="true" applyBorder="true" applyNumberFormat="true">
      <alignment horizontal="right" vertical="top" indent="1" wrapText="false"/>
    </xf>
    <xf numFmtId="170" fontId="108" fillId="6" borderId="6" xfId="0" applyFill="true" applyFont="true" applyBorder="true" applyNumberFormat="true">
      <alignment horizontal="right" vertical="top" indent="1" wrapText="false"/>
    </xf>
    <xf numFmtId="171" fontId="109" fillId="6" borderId="6" xfId="0" applyFill="true" applyFont="true" applyBorder="true" applyNumberFormat="true">
      <alignment horizontal="right" vertical="top" indent="1" wrapText="false"/>
    </xf>
    <xf numFmtId="170" fontId="110" fillId="6" borderId="6" xfId="0" applyFill="true" applyFont="true" applyBorder="true" applyNumberFormat="true">
      <alignment horizontal="right" vertical="top" indent="1" wrapText="false"/>
    </xf>
    <xf numFmtId="171" fontId="111" fillId="6" borderId="6" xfId="0" applyFill="true" applyFont="true" applyBorder="true" applyNumberFormat="true">
      <alignment horizontal="right" vertical="top" indent="1" wrapText="false"/>
    </xf>
    <xf numFmtId="169" fontId="112" fillId="6" borderId="6" xfId="0" applyFill="true" applyFont="true" applyBorder="true" applyNumberFormat="true">
      <alignment horizontal="right" vertical="top" indent="1" wrapText="false"/>
    </xf>
    <xf numFmtId="171" fontId="113" fillId="6" borderId="6" xfId="0" applyFill="true" applyFont="true" applyBorder="true" applyNumberFormat="true">
      <alignment horizontal="right" vertical="top" indent="1" wrapText="false"/>
    </xf>
    <xf numFmtId="170" fontId="114" fillId="6" borderId="6" xfId="0" applyFill="true" applyFont="true" applyBorder="true" applyNumberFormat="true">
      <alignment horizontal="right" vertical="top" indent="1" wrapText="false"/>
    </xf>
    <xf numFmtId="171" fontId="115" fillId="6" borderId="6" xfId="0" applyFill="true" applyFont="true" applyBorder="true" applyNumberFormat="true">
      <alignment horizontal="right" vertical="top" indent="1" wrapText="false"/>
    </xf>
    <xf numFmtId="170" fontId="116" fillId="6" borderId="6" xfId="0" applyFill="true" applyFont="true" applyBorder="true" applyNumberFormat="true">
      <alignment horizontal="right" vertical="top" indent="1" wrapText="false"/>
    </xf>
    <xf numFmtId="171" fontId="117" fillId="6" borderId="6" xfId="0" applyFill="true" applyFont="true" applyBorder="true" applyNumberFormat="true">
      <alignment horizontal="right" vertical="top" indent="1" wrapText="false"/>
    </xf>
    <xf numFmtId="170" fontId="118" fillId="6" borderId="6" xfId="0" applyFill="true" applyFont="true" applyBorder="true" applyNumberFormat="true">
      <alignment horizontal="right" vertical="top" indent="1" wrapText="false"/>
    </xf>
    <xf numFmtId="171" fontId="119" fillId="6" borderId="6" xfId="0" applyFill="true" applyFont="true" applyBorder="true" applyNumberFormat="true">
      <alignment horizontal="right" vertical="top" indent="1" wrapText="false"/>
    </xf>
    <xf numFmtId="170" fontId="120" fillId="6" borderId="6" xfId="0" applyFill="true" applyFont="true" applyBorder="true" applyNumberFormat="true">
      <alignment horizontal="right" vertical="top" indent="1" wrapText="false"/>
    </xf>
    <xf numFmtId="171" fontId="121" fillId="6" borderId="6" xfId="0" applyFill="true" applyFont="true" applyBorder="true" applyNumberFormat="true">
      <alignment horizontal="right" vertical="top" indent="1" wrapText="false"/>
    </xf>
    <xf numFmtId="170" fontId="122" fillId="6" borderId="6" xfId="0" applyFill="true" applyFont="true" applyBorder="true" applyNumberFormat="true">
      <alignment horizontal="right" vertical="top" indent="1" wrapText="false"/>
    </xf>
    <xf numFmtId="171" fontId="123" fillId="6" borderId="6" xfId="0" applyFill="true" applyFont="true" applyBorder="true" applyNumberFormat="true">
      <alignment horizontal="right" vertical="top" indent="1" wrapText="false"/>
    </xf>
    <xf numFmtId="170" fontId="124" fillId="6" borderId="6" xfId="0" applyFill="true" applyFont="true" applyBorder="true" applyNumberFormat="true">
      <alignment horizontal="right" vertical="top" indent="1" wrapText="false"/>
    </xf>
    <xf numFmtId="170" fontId="125" fillId="6" borderId="6" xfId="0" applyFill="true" applyFont="true" applyBorder="true" applyNumberFormat="true">
      <alignment horizontal="right" vertical="top" indent="1" wrapText="false"/>
    </xf>
    <xf numFmtId="170" fontId="126" fillId="6" borderId="6" xfId="0" applyFill="true" applyFont="true" applyBorder="true" applyNumberFormat="true">
      <alignment horizontal="right" vertical="top" indent="1" wrapText="false"/>
    </xf>
    <xf numFmtId="169" fontId="127" fillId="6" borderId="6" xfId="0" applyFill="true" applyFont="true" applyBorder="true" applyNumberFormat="true">
      <alignment horizontal="right" vertical="top" indent="1" wrapText="false"/>
    </xf>
    <xf numFmtId="170" fontId="128" fillId="6" borderId="6" xfId="0" applyFill="true" applyFont="true" applyBorder="true" applyNumberFormat="true">
      <alignment horizontal="right" vertical="top" indent="1" wrapText="false"/>
    </xf>
    <xf numFmtId="170" fontId="129" fillId="6" borderId="6" xfId="0" applyFill="true" applyFont="true" applyBorder="true" applyNumberFormat="true">
      <alignment horizontal="right" vertical="top" indent="1" wrapText="false"/>
    </xf>
    <xf numFmtId="169" fontId="130" fillId="6" borderId="6" xfId="0" applyFill="true" applyFont="true" applyBorder="true" applyNumberFormat="true">
      <alignment horizontal="right" vertical="top" indent="1" wrapText="false"/>
    </xf>
    <xf numFmtId="170" fontId="131" fillId="6" borderId="6" xfId="0" applyFill="true" applyFont="true" applyBorder="true" applyNumberFormat="true">
      <alignment horizontal="right" vertical="top" indent="1" wrapText="false"/>
    </xf>
    <xf numFmtId="170" fontId="132" fillId="6" borderId="6" xfId="0" applyFill="true" applyFont="true" applyBorder="true" applyNumberFormat="true">
      <alignment horizontal="right" vertical="top" indent="1" wrapText="false"/>
    </xf>
    <xf numFmtId="169" fontId="133" fillId="6" borderId="6" xfId="0" applyFill="true" applyFont="true" applyBorder="true" applyNumberFormat="true">
      <alignment horizontal="right" vertical="top" indent="1" wrapText="false"/>
    </xf>
    <xf numFmtId="170" fontId="134" fillId="6" borderId="6" xfId="0" applyFill="true" applyFont="true" applyBorder="true" applyNumberFormat="true">
      <alignment horizontal="right" vertical="top" indent="1" wrapText="false"/>
    </xf>
    <xf numFmtId="170" fontId="135" fillId="6" borderId="6" xfId="0" applyFill="true" applyFont="true" applyBorder="true" applyNumberFormat="true">
      <alignment horizontal="right" vertical="top" indent="1" wrapText="false"/>
    </xf>
    <xf numFmtId="169" fontId="136" fillId="6" borderId="6" xfId="0" applyFill="true" applyFont="true" applyBorder="true" applyNumberFormat="true">
      <alignment horizontal="right" vertical="top" indent="1" wrapText="false"/>
    </xf>
    <xf numFmtId="0" fontId="137" fillId="6" borderId="6" xfId="0" applyFill="true" applyFont="true" applyBorder="true">
      <alignment horizontal="right" vertical="top" indent="1" wrapText="false"/>
    </xf>
    <xf numFmtId="0" fontId="138" fillId="6" borderId="6" xfId="0" applyFill="true" applyFont="true" applyBorder="true">
      <alignment horizontal="general" vertical="top" indent="1" wrapText="false"/>
    </xf>
    <xf numFmtId="0" fontId="139" fillId="8" borderId="6" xfId="0" applyFill="true" applyFont="true" applyBorder="true">
      <alignment horizontal="general" vertical="top" indent="1" wrapText="false"/>
    </xf>
    <xf numFmtId="0" fontId="140" fillId="8" borderId="6" xfId="0" applyFill="true" applyFont="true" applyBorder="true">
      <alignment horizontal="left" vertical="top" indent="1" wrapText="false"/>
    </xf>
    <xf numFmtId="0" fontId="141" fillId="8" borderId="6" xfId="0" applyFill="true" applyFont="true" applyBorder="true">
      <alignment horizontal="left" vertical="top" indent="1" wrapText="false"/>
    </xf>
    <xf numFmtId="0" fontId="142" fillId="8" borderId="6" xfId="0" applyFill="true" applyFont="true" applyBorder="true">
      <alignment horizontal="left" vertical="top" indent="1" wrapText="false"/>
    </xf>
    <xf numFmtId="0" fontId="143" fillId="8" borderId="6" xfId="0" applyFill="true" applyFont="true" applyBorder="true">
      <alignment horizontal="left" vertical="top" indent="1" wrapText="false"/>
    </xf>
    <xf numFmtId="0" fontId="144" fillId="8" borderId="6" xfId="0" applyFill="true" applyFont="true" applyBorder="true">
      <alignment horizontal="left" vertical="top" indent="1" wrapText="false"/>
    </xf>
    <xf numFmtId="0" fontId="145" fillId="8" borderId="6" xfId="0" applyFill="true" applyFont="true" applyBorder="true">
      <alignment horizontal="left" vertical="top" indent="1" wrapText="false"/>
    </xf>
    <xf numFmtId="0" fontId="146" fillId="8" borderId="6" xfId="0" applyFill="true" applyFont="true" applyBorder="true">
      <alignment horizontal="left" vertical="top" indent="1" wrapText="false"/>
    </xf>
    <xf numFmtId="0" fontId="147" fillId="8" borderId="6" xfId="0" applyFill="true" applyFont="true" applyBorder="true">
      <alignment horizontal="left" vertical="top" indent="1" wrapText="false"/>
    </xf>
    <xf numFmtId="0" fontId="148" fillId="8" borderId="6" xfId="0" applyFill="true" applyFont="true" applyBorder="true">
      <alignment horizontal="left" vertical="top" indent="1" wrapText="false"/>
    </xf>
    <xf numFmtId="0" fontId="149" fillId="8" borderId="6" xfId="0" applyFill="true" applyFont="true" applyBorder="true">
      <alignment horizontal="left" vertical="top" indent="1" wrapText="false"/>
    </xf>
    <xf numFmtId="0" fontId="150" fillId="8" borderId="6" xfId="0" applyFill="true" applyFont="true" applyBorder="true">
      <alignment horizontal="left" vertical="top" indent="1" wrapText="false"/>
    </xf>
    <xf numFmtId="165" fontId="151" fillId="8" borderId="6" xfId="0" applyFill="true" applyFont="true" applyBorder="true" applyNumberFormat="true">
      <alignment horizontal="right" vertical="top" indent="1" wrapText="false"/>
    </xf>
    <xf numFmtId="0" fontId="152" fillId="8" borderId="6" xfId="0" applyFill="true" applyFont="true" applyBorder="true">
      <alignment horizontal="left" vertical="top" indent="1" wrapText="false"/>
    </xf>
    <xf numFmtId="0" fontId="153" fillId="8" borderId="6" xfId="0" applyFill="true" applyFont="true" applyBorder="true">
      <alignment horizontal="left" vertical="top" indent="1" wrapText="false"/>
    </xf>
    <xf numFmtId="0" fontId="154" fillId="8" borderId="6" xfId="0" applyFill="true" applyFont="true" applyBorder="true">
      <alignment horizontal="left" vertical="top" indent="1" wrapText="false"/>
    </xf>
    <xf numFmtId="0" fontId="155" fillId="8" borderId="6" xfId="0" applyFill="true" applyFont="true" applyBorder="true">
      <alignment horizontal="left" vertical="top" indent="1" wrapText="false"/>
    </xf>
    <xf numFmtId="166" fontId="156" fillId="8" borderId="6" xfId="0" applyFill="true" applyFont="true" applyBorder="true" applyNumberFormat="true">
      <alignment horizontal="right" vertical="top" indent="1" wrapText="false"/>
    </xf>
    <xf numFmtId="0" fontId="157" fillId="8" borderId="6" xfId="0" applyFill="true" applyFont="true" applyBorder="true">
      <alignment horizontal="left" vertical="top" indent="1" wrapText="false"/>
    </xf>
    <xf numFmtId="0" fontId="158" fillId="8" borderId="6" xfId="0" applyFill="true" applyFont="true" applyBorder="true">
      <alignment horizontal="left" vertical="top" indent="1" wrapText="false"/>
    </xf>
    <xf numFmtId="167" fontId="159" fillId="8" borderId="6" xfId="0" applyFill="true" applyFont="true" applyBorder="true" applyNumberFormat="true">
      <alignment horizontal="right" vertical="top" indent="1" wrapText="false"/>
    </xf>
    <xf numFmtId="0" fontId="160" fillId="8" borderId="6" xfId="0" applyFill="true" applyFont="true" applyBorder="true">
      <alignment horizontal="left" vertical="top" indent="1" wrapText="false"/>
    </xf>
    <xf numFmtId="0" fontId="161" fillId="8" borderId="6" xfId="0" applyFill="true" applyFont="true" applyBorder="true">
      <alignment horizontal="left" vertical="top" indent="1" wrapText="true"/>
    </xf>
    <xf numFmtId="0" fontId="162" fillId="8" borderId="6" xfId="0" applyFill="true" applyFont="true" applyBorder="true">
      <alignment horizontal="left" vertical="top" indent="1" wrapText="true"/>
    </xf>
    <xf numFmtId="165" fontId="163" fillId="8" borderId="6" xfId="0" applyFill="true" applyFont="true" applyBorder="true" applyNumberFormat="true">
      <alignment horizontal="right" vertical="top" indent="1" wrapText="false"/>
    </xf>
    <xf numFmtId="165" fontId="164" fillId="8" borderId="6" xfId="0" applyFill="true" applyFont="true" applyBorder="true" applyNumberFormat="true">
      <alignment horizontal="right" vertical="top" indent="1" wrapText="false"/>
    </xf>
    <xf numFmtId="165" fontId="165" fillId="8" borderId="6" xfId="0" applyFill="true" applyFont="true" applyBorder="true" applyNumberFormat="true">
      <alignment horizontal="right" vertical="top" indent="1" wrapText="false"/>
    </xf>
    <xf numFmtId="165" fontId="166" fillId="8" borderId="6" xfId="0" applyFill="true" applyFont="true" applyBorder="true" applyNumberFormat="true">
      <alignment horizontal="right" vertical="top" indent="1" wrapText="false"/>
    </xf>
    <xf numFmtId="165" fontId="167" fillId="8" borderId="6" xfId="0" applyFill="true" applyFont="true" applyBorder="true" applyNumberFormat="true">
      <alignment horizontal="right" vertical="top" indent="1" wrapText="false"/>
    </xf>
    <xf numFmtId="0" fontId="168" fillId="8" borderId="6" xfId="0" applyFill="true" applyFont="true" applyBorder="true">
      <alignment horizontal="right" vertical="top" indent="1" wrapText="false"/>
    </xf>
    <xf numFmtId="0" fontId="169" fillId="8" borderId="6" xfId="0" applyFill="true" applyFont="true" applyBorder="true">
      <alignment horizontal="left" vertical="top" indent="1" wrapText="false"/>
    </xf>
    <xf numFmtId="0" fontId="170" fillId="8" borderId="6" xfId="0" applyFill="true" applyFont="true" applyBorder="true">
      <alignment horizontal="left" vertical="top" indent="1" wrapText="false"/>
    </xf>
    <xf numFmtId="0" fontId="171" fillId="8" borderId="6" xfId="0" applyFill="true" applyFont="true" applyBorder="true">
      <alignment horizontal="left" vertical="top" indent="1" wrapText="false"/>
    </xf>
    <xf numFmtId="0" fontId="172" fillId="8" borderId="6" xfId="0" applyFill="true" applyFont="true" applyBorder="true">
      <alignment horizontal="left" vertical="top" indent="1" wrapText="false"/>
    </xf>
    <xf numFmtId="0" fontId="173" fillId="8" borderId="6" xfId="0" applyFill="true" applyFont="true" applyBorder="true">
      <alignment horizontal="left" vertical="top" indent="1" wrapText="false"/>
    </xf>
    <xf numFmtId="0" fontId="174" fillId="8" borderId="6" xfId="0" applyFill="true" applyFont="true" applyBorder="true">
      <alignment horizontal="left" vertical="top" indent="1" wrapText="false"/>
    </xf>
    <xf numFmtId="0" fontId="175" fillId="8" borderId="6" xfId="0" applyFill="true" applyFont="true" applyBorder="true">
      <alignment horizontal="left" vertical="top" indent="1" wrapText="false"/>
    </xf>
    <xf numFmtId="0" fontId="176" fillId="8" borderId="6" xfId="0" applyFill="true" applyFont="true" applyBorder="true">
      <alignment horizontal="left" vertical="top" indent="1" wrapText="false"/>
    </xf>
    <xf numFmtId="0" fontId="177" fillId="8" borderId="6" xfId="0" applyFill="true" applyFont="true" applyBorder="true">
      <alignment horizontal="left" vertical="top" indent="1" wrapText="false"/>
    </xf>
    <xf numFmtId="0" fontId="178" fillId="8" borderId="6" xfId="0" applyFill="true" applyFont="true" applyBorder="true">
      <alignment horizontal="left" vertical="top" indent="1" wrapText="false"/>
    </xf>
    <xf numFmtId="0" fontId="179" fillId="8" borderId="6" xfId="0" applyFill="true" applyFont="true" applyBorder="true">
      <alignment horizontal="right" vertical="top" indent="1" wrapText="false"/>
    </xf>
    <xf numFmtId="0" fontId="180" fillId="8" borderId="6" xfId="0" applyFill="true" applyFont="true" applyBorder="true">
      <alignment horizontal="left" vertical="top" indent="1" wrapText="false"/>
    </xf>
    <xf numFmtId="0" fontId="181" fillId="8" borderId="6" xfId="0" applyFill="true" applyFont="true" applyBorder="true">
      <alignment horizontal="right" vertical="top" indent="1" wrapText="false"/>
    </xf>
    <xf numFmtId="0" fontId="182" fillId="8" borderId="6" xfId="0" applyFill="true" applyFont="true" applyBorder="true">
      <alignment horizontal="right" vertical="top" indent="1" wrapText="false"/>
    </xf>
    <xf numFmtId="0" fontId="183" fillId="8" borderId="6" xfId="0" applyFill="true" applyFont="true" applyBorder="true">
      <alignment horizontal="left" vertical="top" indent="1" wrapText="false"/>
    </xf>
    <xf numFmtId="0" fontId="184" fillId="8" borderId="6" xfId="0" applyFill="true" applyFont="true" applyBorder="true">
      <alignment horizontal="left" vertical="top" indent="1" wrapText="false"/>
    </xf>
    <xf numFmtId="0" fontId="185" fillId="8" borderId="6" xfId="0" applyFill="true" applyFont="true" applyBorder="true">
      <alignment horizontal="left" vertical="top" indent="1" wrapText="false"/>
    </xf>
    <xf numFmtId="0" fontId="186" fillId="8" borderId="6" xfId="0" applyFill="true" applyFont="true" applyBorder="true">
      <alignment horizontal="left" vertical="top" indent="1" wrapText="false"/>
    </xf>
    <xf numFmtId="0" fontId="187" fillId="8" borderId="6" xfId="0" applyFill="true" applyFont="true" applyBorder="true">
      <alignment horizontal="left" vertical="top" indent="1" wrapText="false"/>
    </xf>
    <xf numFmtId="0" fontId="188" fillId="8" borderId="6" xfId="0" applyFill="true" applyFont="true" applyBorder="true">
      <alignment horizontal="right" vertical="top" indent="1" wrapText="false"/>
    </xf>
    <xf numFmtId="0" fontId="189" fillId="8" borderId="6" xfId="0" applyFill="true" applyFont="true" applyBorder="true">
      <alignment horizontal="left" vertical="top" indent="1" wrapText="false"/>
    </xf>
    <xf numFmtId="0" fontId="190" fillId="8" borderId="6" xfId="0" applyFill="true" applyFont="true" applyBorder="true">
      <alignment horizontal="left" vertical="top" indent="1" wrapText="false"/>
    </xf>
    <xf numFmtId="0" fontId="191" fillId="8" borderId="6" xfId="0" applyFill="true" applyFont="true" applyBorder="true">
      <alignment horizontal="left" vertical="top" indent="1" wrapText="false"/>
    </xf>
    <xf numFmtId="0" fontId="192" fillId="8" borderId="6" xfId="0" applyFill="true" applyFont="true" applyBorder="true">
      <alignment horizontal="left" vertical="top" indent="1" wrapText="false"/>
    </xf>
    <xf numFmtId="0" fontId="193" fillId="8" borderId="6" xfId="0" applyFill="true" applyFont="true" applyBorder="true">
      <alignment horizontal="left" vertical="top" indent="1" wrapText="false"/>
    </xf>
    <xf numFmtId="0" fontId="194" fillId="8" borderId="6" xfId="0" applyFill="true" applyFont="true" applyBorder="true">
      <alignment horizontal="left" vertical="top" indent="1" wrapText="false"/>
    </xf>
    <xf numFmtId="0" fontId="195" fillId="8" borderId="6" xfId="0" applyFill="true" applyFont="true" applyBorder="true">
      <alignment horizontal="left" vertical="top" indent="1" wrapText="false"/>
    </xf>
    <xf numFmtId="0" fontId="196" fillId="8" borderId="6" xfId="0" applyFill="true" applyFont="true" applyBorder="true">
      <alignment horizontal="left" vertical="top" indent="1" wrapText="false"/>
    </xf>
    <xf numFmtId="168" fontId="197" fillId="8" borderId="6" xfId="0" applyFill="true" applyFont="true" applyBorder="true" applyNumberFormat="true">
      <alignment horizontal="right" vertical="top" indent="1" wrapText="false"/>
    </xf>
    <xf numFmtId="165" fontId="198" fillId="8" borderId="6" xfId="0" applyFill="true" applyFont="true" applyBorder="true" applyNumberFormat="true">
      <alignment horizontal="right" vertical="top" indent="1" wrapText="false"/>
    </xf>
    <xf numFmtId="0" fontId="199" fillId="8" borderId="6" xfId="0" applyFill="true" applyFont="true" applyBorder="true">
      <alignment horizontal="left" vertical="top" indent="1" wrapText="false"/>
    </xf>
    <xf numFmtId="165" fontId="200" fillId="8" borderId="6" xfId="0" applyFill="true" applyFont="true" applyBorder="true" applyNumberFormat="true">
      <alignment horizontal="right" vertical="top" indent="1" wrapText="false"/>
    </xf>
    <xf numFmtId="0" fontId="201" fillId="8" borderId="6" xfId="0" applyFill="true" applyFont="true" applyBorder="true">
      <alignment horizontal="left" vertical="top" indent="1" wrapText="false"/>
    </xf>
    <xf numFmtId="0" fontId="202" fillId="8" borderId="6" xfId="0" applyFill="true" applyFont="true" applyBorder="true">
      <alignment horizontal="left" vertical="top" indent="1" wrapText="false"/>
    </xf>
    <xf numFmtId="0" fontId="203" fillId="8" borderId="6" xfId="0" applyFill="true" applyFont="true" applyBorder="true">
      <alignment horizontal="left" vertical="top" indent="1" wrapText="false"/>
    </xf>
    <xf numFmtId="0" fontId="204" fillId="8" borderId="6" xfId="0" applyFill="true" applyFont="true" applyBorder="true">
      <alignment horizontal="left" vertical="top" indent="1" wrapText="false"/>
    </xf>
    <xf numFmtId="0" fontId="205" fillId="8" borderId="6" xfId="0" applyFill="true" applyFont="true" applyBorder="true">
      <alignment horizontal="left" vertical="top" indent="1" wrapText="false"/>
    </xf>
    <xf numFmtId="0" fontId="206" fillId="8" borderId="6" xfId="0" applyFill="true" applyFont="true" applyBorder="true">
      <alignment horizontal="left" vertical="top" indent="1" wrapText="false"/>
    </xf>
    <xf numFmtId="0" fontId="207" fillId="8" borderId="6" xfId="0" applyFill="true" applyFont="true" applyBorder="true">
      <alignment horizontal="left" vertical="top" indent="1" wrapText="false"/>
    </xf>
    <xf numFmtId="0" fontId="208" fillId="8" borderId="6" xfId="0" applyFill="true" applyFont="true" applyBorder="true">
      <alignment horizontal="left" vertical="top" indent="1" wrapText="false"/>
    </xf>
    <xf numFmtId="0" fontId="209" fillId="8" borderId="6" xfId="0" applyFill="true" applyFont="true" applyBorder="true">
      <alignment horizontal="left" vertical="top" indent="1" wrapText="false"/>
    </xf>
    <xf numFmtId="168" fontId="210" fillId="8" borderId="6" xfId="0" applyFill="true" applyFont="true" applyBorder="true" applyNumberFormat="true">
      <alignment horizontal="right" vertical="top" indent="1" wrapText="false"/>
    </xf>
    <xf numFmtId="165" fontId="211" fillId="8" borderId="6" xfId="0" applyFill="true" applyFont="true" applyBorder="true" applyNumberFormat="true">
      <alignment horizontal="right" vertical="top" indent="1" wrapText="false"/>
    </xf>
    <xf numFmtId="0" fontId="212" fillId="8" borderId="6" xfId="0" applyFill="true" applyFont="true" applyBorder="true">
      <alignment horizontal="left" vertical="top" indent="1" wrapText="false"/>
    </xf>
    <xf numFmtId="165" fontId="213" fillId="8" borderId="6" xfId="0" applyFill="true" applyFont="true" applyBorder="true" applyNumberFormat="true">
      <alignment horizontal="right" vertical="top" indent="1" wrapText="false"/>
    </xf>
    <xf numFmtId="0" fontId="214" fillId="8" borderId="6" xfId="0" applyFill="true" applyFont="true" applyBorder="true">
      <alignment horizontal="left" vertical="top" indent="1" wrapText="false"/>
    </xf>
    <xf numFmtId="0" fontId="215" fillId="8" borderId="6" xfId="0" applyFill="true" applyFont="true" applyBorder="true">
      <alignment horizontal="left" vertical="top" indent="1" wrapText="false"/>
    </xf>
    <xf numFmtId="0" fontId="216" fillId="8" borderId="6" xfId="0" applyFill="true" applyFont="true" applyBorder="true">
      <alignment horizontal="left" vertical="top" indent="1" wrapText="false"/>
    </xf>
    <xf numFmtId="0" fontId="217" fillId="8" borderId="6" xfId="0" applyFill="true" applyFont="true" applyBorder="true">
      <alignment horizontal="left" vertical="top" indent="1" wrapText="false"/>
    </xf>
    <xf numFmtId="0" fontId="218" fillId="8" borderId="6" xfId="0" applyFill="true" applyFont="true" applyBorder="true">
      <alignment horizontal="left" vertical="top" indent="1" wrapText="false"/>
    </xf>
    <xf numFmtId="0" fontId="219" fillId="8" borderId="6" xfId="0" applyFill="true" applyFont="true" applyBorder="true">
      <alignment horizontal="left" vertical="top" indent="1" wrapText="false"/>
    </xf>
    <xf numFmtId="0" fontId="220" fillId="8" borderId="6" xfId="0" applyFill="true" applyFont="true" applyBorder="true">
      <alignment horizontal="left" vertical="top" indent="1" wrapText="false"/>
    </xf>
    <xf numFmtId="0" fontId="221" fillId="8" borderId="6" xfId="0" applyFill="true" applyFont="true" applyBorder="true">
      <alignment horizontal="left" vertical="top" indent="1" wrapText="false"/>
    </xf>
    <xf numFmtId="0" fontId="222" fillId="8" borderId="6" xfId="0" applyFill="true" applyFont="true" applyBorder="true">
      <alignment horizontal="left" vertical="top" indent="1" wrapText="false"/>
    </xf>
    <xf numFmtId="169" fontId="223" fillId="8" borderId="6" xfId="0" applyFill="true" applyFont="true" applyBorder="true" applyNumberFormat="true">
      <alignment horizontal="right" vertical="top" indent="1" wrapText="false"/>
    </xf>
    <xf numFmtId="170" fontId="224" fillId="8" borderId="6" xfId="0" applyFill="true" applyFont="true" applyBorder="true" applyNumberFormat="true">
      <alignment horizontal="right" vertical="top" indent="1" wrapText="false"/>
    </xf>
    <xf numFmtId="169" fontId="225" fillId="8" borderId="6" xfId="0" applyFill="true" applyFont="true" applyBorder="true" applyNumberFormat="true">
      <alignment horizontal="right" vertical="top" indent="1" wrapText="false"/>
    </xf>
    <xf numFmtId="169" fontId="226" fillId="8" borderId="6" xfId="0" applyFill="true" applyFont="true" applyBorder="true" applyNumberFormat="true">
      <alignment horizontal="right" vertical="top" indent="1" wrapText="false"/>
    </xf>
    <xf numFmtId="169" fontId="227" fillId="8" borderId="6" xfId="0" applyFill="true" applyFont="true" applyBorder="true" applyNumberFormat="true">
      <alignment horizontal="right" vertical="top" indent="1" wrapText="false"/>
    </xf>
    <xf numFmtId="170" fontId="228" fillId="8" borderId="6" xfId="0" applyFill="true" applyFont="true" applyBorder="true" applyNumberFormat="true">
      <alignment horizontal="right" vertical="top" indent="1" wrapText="false"/>
    </xf>
    <xf numFmtId="169" fontId="229" fillId="8" borderId="6" xfId="0" applyFill="true" applyFont="true" applyBorder="true" applyNumberFormat="true">
      <alignment horizontal="right" vertical="top" indent="1" wrapText="false"/>
    </xf>
    <xf numFmtId="170" fontId="230" fillId="8" borderId="6" xfId="0" applyFill="true" applyFont="true" applyBorder="true" applyNumberFormat="true">
      <alignment horizontal="right" vertical="top" indent="1" wrapText="false"/>
    </xf>
    <xf numFmtId="169" fontId="231" fillId="8" borderId="6" xfId="0" applyFill="true" applyFont="true" applyBorder="true" applyNumberFormat="true">
      <alignment horizontal="right" vertical="top" indent="1" wrapText="false"/>
    </xf>
    <xf numFmtId="170" fontId="232" fillId="8" borderId="6" xfId="0" applyFill="true" applyFont="true" applyBorder="true" applyNumberFormat="true">
      <alignment horizontal="right" vertical="top" indent="1" wrapText="false"/>
    </xf>
    <xf numFmtId="169" fontId="233" fillId="8" borderId="6" xfId="0" applyFill="true" applyFont="true" applyBorder="true" applyNumberFormat="true">
      <alignment horizontal="right" vertical="top" indent="1" wrapText="false"/>
    </xf>
    <xf numFmtId="170" fontId="234" fillId="8" borderId="6" xfId="0" applyFill="true" applyFont="true" applyBorder="true" applyNumberFormat="true">
      <alignment horizontal="right" vertical="top" indent="1" wrapText="false"/>
    </xf>
    <xf numFmtId="169" fontId="235" fillId="8" borderId="6" xfId="0" applyFill="true" applyFont="true" applyBorder="true" applyNumberFormat="true">
      <alignment horizontal="right" vertical="top" indent="1" wrapText="false"/>
    </xf>
    <xf numFmtId="170" fontId="236" fillId="8" borderId="6" xfId="0" applyFill="true" applyFont="true" applyBorder="true" applyNumberFormat="true">
      <alignment horizontal="right" vertical="top" indent="1" wrapText="false"/>
    </xf>
    <xf numFmtId="169" fontId="237" fillId="8" borderId="6" xfId="0" applyFill="true" applyFont="true" applyBorder="true" applyNumberFormat="true">
      <alignment horizontal="right" vertical="top" indent="1" wrapText="false"/>
    </xf>
    <xf numFmtId="170" fontId="238" fillId="8" borderId="6" xfId="0" applyFill="true" applyFont="true" applyBorder="true" applyNumberFormat="true">
      <alignment horizontal="right" vertical="top" indent="1" wrapText="false"/>
    </xf>
    <xf numFmtId="171" fontId="239" fillId="8" borderId="6" xfId="0" applyFill="true" applyFont="true" applyBorder="true" applyNumberFormat="true">
      <alignment horizontal="right" vertical="top" indent="1" wrapText="false"/>
    </xf>
    <xf numFmtId="170" fontId="240" fillId="8" borderId="6" xfId="0" applyFill="true" applyFont="true" applyBorder="true" applyNumberFormat="true">
      <alignment horizontal="right" vertical="top" indent="1" wrapText="false"/>
    </xf>
    <xf numFmtId="171" fontId="241" fillId="8" borderId="6" xfId="0" applyFill="true" applyFont="true" applyBorder="true" applyNumberFormat="true">
      <alignment horizontal="right" vertical="top" indent="1" wrapText="false"/>
    </xf>
    <xf numFmtId="169" fontId="242" fillId="8" borderId="6" xfId="0" applyFill="true" applyFont="true" applyBorder="true" applyNumberFormat="true">
      <alignment horizontal="right" vertical="top" indent="1" wrapText="false"/>
    </xf>
    <xf numFmtId="171" fontId="243" fillId="8" borderId="6" xfId="0" applyFill="true" applyFont="true" applyBorder="true" applyNumberFormat="true">
      <alignment horizontal="right" vertical="top" indent="1" wrapText="false"/>
    </xf>
    <xf numFmtId="170" fontId="244" fillId="8" borderId="6" xfId="0" applyFill="true" applyFont="true" applyBorder="true" applyNumberFormat="true">
      <alignment horizontal="right" vertical="top" indent="1" wrapText="false"/>
    </xf>
    <xf numFmtId="171" fontId="245" fillId="8" borderId="6" xfId="0" applyFill="true" applyFont="true" applyBorder="true" applyNumberFormat="true">
      <alignment horizontal="right" vertical="top" indent="1" wrapText="false"/>
    </xf>
    <xf numFmtId="170" fontId="246" fillId="8" borderId="6" xfId="0" applyFill="true" applyFont="true" applyBorder="true" applyNumberFormat="true">
      <alignment horizontal="right" vertical="top" indent="1" wrapText="false"/>
    </xf>
    <xf numFmtId="171" fontId="247" fillId="8" borderId="6" xfId="0" applyFill="true" applyFont="true" applyBorder="true" applyNumberFormat="true">
      <alignment horizontal="right" vertical="top" indent="1" wrapText="false"/>
    </xf>
    <xf numFmtId="170" fontId="248" fillId="8" borderId="6" xfId="0" applyFill="true" applyFont="true" applyBorder="true" applyNumberFormat="true">
      <alignment horizontal="right" vertical="top" indent="1" wrapText="false"/>
    </xf>
    <xf numFmtId="171" fontId="249" fillId="8" borderId="6" xfId="0" applyFill="true" applyFont="true" applyBorder="true" applyNumberFormat="true">
      <alignment horizontal="right" vertical="top" indent="1" wrapText="false"/>
    </xf>
    <xf numFmtId="170" fontId="250" fillId="8" borderId="6" xfId="0" applyFill="true" applyFont="true" applyBorder="true" applyNumberFormat="true">
      <alignment horizontal="right" vertical="top" indent="1" wrapText="false"/>
    </xf>
    <xf numFmtId="171" fontId="251" fillId="8" borderId="6" xfId="0" applyFill="true" applyFont="true" applyBorder="true" applyNumberFormat="true">
      <alignment horizontal="right" vertical="top" indent="1" wrapText="false"/>
    </xf>
    <xf numFmtId="170" fontId="252" fillId="8" borderId="6" xfId="0" applyFill="true" applyFont="true" applyBorder="true" applyNumberFormat="true">
      <alignment horizontal="right" vertical="top" indent="1" wrapText="false"/>
    </xf>
    <xf numFmtId="171" fontId="253" fillId="8" borderId="6" xfId="0" applyFill="true" applyFont="true" applyBorder="true" applyNumberFormat="true">
      <alignment horizontal="right" vertical="top" indent="1" wrapText="false"/>
    </xf>
    <xf numFmtId="170" fontId="254" fillId="8" borderId="6" xfId="0" applyFill="true" applyFont="true" applyBorder="true" applyNumberFormat="true">
      <alignment horizontal="right" vertical="top" indent="1" wrapText="false"/>
    </xf>
    <xf numFmtId="170" fontId="255" fillId="8" borderId="6" xfId="0" applyFill="true" applyFont="true" applyBorder="true" applyNumberFormat="true">
      <alignment horizontal="right" vertical="top" indent="1" wrapText="false"/>
    </xf>
    <xf numFmtId="170" fontId="256" fillId="8" borderId="6" xfId="0" applyFill="true" applyFont="true" applyBorder="true" applyNumberFormat="true">
      <alignment horizontal="right" vertical="top" indent="1" wrapText="false"/>
    </xf>
    <xf numFmtId="169" fontId="257" fillId="8" borderId="6" xfId="0" applyFill="true" applyFont="true" applyBorder="true" applyNumberFormat="true">
      <alignment horizontal="right" vertical="top" indent="1" wrapText="false"/>
    </xf>
    <xf numFmtId="170" fontId="258" fillId="8" borderId="6" xfId="0" applyFill="true" applyFont="true" applyBorder="true" applyNumberFormat="true">
      <alignment horizontal="right" vertical="top" indent="1" wrapText="false"/>
    </xf>
    <xf numFmtId="170" fontId="259" fillId="8" borderId="6" xfId="0" applyFill="true" applyFont="true" applyBorder="true" applyNumberFormat="true">
      <alignment horizontal="right" vertical="top" indent="1" wrapText="false"/>
    </xf>
    <xf numFmtId="169" fontId="260" fillId="8" borderId="6" xfId="0" applyFill="true" applyFont="true" applyBorder="true" applyNumberFormat="true">
      <alignment horizontal="right" vertical="top" indent="1" wrapText="false"/>
    </xf>
    <xf numFmtId="170" fontId="261" fillId="8" borderId="6" xfId="0" applyFill="true" applyFont="true" applyBorder="true" applyNumberFormat="true">
      <alignment horizontal="right" vertical="top" indent="1" wrapText="false"/>
    </xf>
    <xf numFmtId="170" fontId="262" fillId="8" borderId="6" xfId="0" applyFill="true" applyFont="true" applyBorder="true" applyNumberFormat="true">
      <alignment horizontal="right" vertical="top" indent="1" wrapText="false"/>
    </xf>
    <xf numFmtId="169" fontId="263" fillId="8" borderId="6" xfId="0" applyFill="true" applyFont="true" applyBorder="true" applyNumberFormat="true">
      <alignment horizontal="right" vertical="top" indent="1" wrapText="false"/>
    </xf>
    <xf numFmtId="170" fontId="264" fillId="8" borderId="6" xfId="0" applyFill="true" applyFont="true" applyBorder="true" applyNumberFormat="true">
      <alignment horizontal="right" vertical="top" indent="1" wrapText="false"/>
    </xf>
    <xf numFmtId="170" fontId="265" fillId="8" borderId="6" xfId="0" applyFill="true" applyFont="true" applyBorder="true" applyNumberFormat="true">
      <alignment horizontal="right" vertical="top" indent="1" wrapText="false"/>
    </xf>
    <xf numFmtId="169" fontId="266" fillId="8" borderId="6" xfId="0" applyFill="true" applyFont="true" applyBorder="true" applyNumberFormat="true">
      <alignment horizontal="right" vertical="top" indent="1" wrapText="false"/>
    </xf>
    <xf numFmtId="0" fontId="267" fillId="8" borderId="6" xfId="0" applyFill="true" applyFont="true" applyBorder="true">
      <alignment horizontal="right" vertical="top" indent="1" wrapText="false"/>
    </xf>
    <xf numFmtId="0" fontId="268" fillId="8" borderId="6" xfId="0" applyFill="true" applyFont="true" applyBorder="true">
      <alignment horizontal="general" vertical="top" indent="1" wrapText="false"/>
    </xf>
    <xf numFmtId="0" fontId="269" fillId="6" borderId="6" xfId="0" applyFill="true" applyFont="true" applyBorder="true">
      <alignment horizontal="general" vertical="top" indent="1" wrapText="false"/>
    </xf>
    <xf numFmtId="0" fontId="270" fillId="6" borderId="6" xfId="0" applyFill="true" applyFont="true" applyBorder="true">
      <alignment horizontal="left" vertical="top" indent="1" wrapText="false"/>
    </xf>
    <xf numFmtId="0" fontId="271" fillId="6" borderId="6" xfId="0" applyFill="true" applyFont="true" applyBorder="true">
      <alignment horizontal="left" vertical="top" indent="1" wrapText="false"/>
    </xf>
    <xf numFmtId="0" fontId="272" fillId="6" borderId="6" xfId="0" applyFill="true" applyFont="true" applyBorder="true">
      <alignment horizontal="left" vertical="top" indent="1" wrapText="false"/>
    </xf>
    <xf numFmtId="0" fontId="273" fillId="6" borderId="6" xfId="0" applyFill="true" applyFont="true" applyBorder="true">
      <alignment horizontal="left" vertical="top" indent="1" wrapText="false"/>
    </xf>
    <xf numFmtId="0" fontId="274" fillId="6" borderId="6" xfId="0" applyFill="true" applyFont="true" applyBorder="true">
      <alignment horizontal="left" vertical="top" indent="1" wrapText="false"/>
    </xf>
    <xf numFmtId="0" fontId="275" fillId="6" borderId="6" xfId="0" applyFill="true" applyFont="true" applyBorder="true">
      <alignment horizontal="left" vertical="top" indent="1" wrapText="false"/>
    </xf>
    <xf numFmtId="0" fontId="276" fillId="6" borderId="6" xfId="0" applyFill="true" applyFont="true" applyBorder="true">
      <alignment horizontal="left" vertical="top" indent="1" wrapText="false"/>
    </xf>
    <xf numFmtId="0" fontId="277" fillId="6" borderId="6" xfId="0" applyFill="true" applyFont="true" applyBorder="true">
      <alignment horizontal="left" vertical="top" indent="1" wrapText="false"/>
    </xf>
    <xf numFmtId="0" fontId="278" fillId="6" borderId="6" xfId="0" applyFill="true" applyFont="true" applyBorder="true">
      <alignment horizontal="left" vertical="top" indent="1" wrapText="false"/>
    </xf>
    <xf numFmtId="0" fontId="279" fillId="6" borderId="6" xfId="0" applyFill="true" applyFont="true" applyBorder="true">
      <alignment horizontal="left" vertical="top" indent="1" wrapText="false"/>
    </xf>
    <xf numFmtId="0" fontId="280" fillId="6" borderId="6" xfId="0" applyFill="true" applyFont="true" applyBorder="true">
      <alignment horizontal="left" vertical="top" indent="1" wrapText="false"/>
    </xf>
    <xf numFmtId="165" fontId="281" fillId="6" borderId="6" xfId="0" applyFill="true" applyFont="true" applyBorder="true" applyNumberFormat="true">
      <alignment horizontal="right" vertical="top" indent="1" wrapText="false"/>
    </xf>
    <xf numFmtId="0" fontId="282" fillId="6" borderId="6" xfId="0" applyFill="true" applyFont="true" applyBorder="true">
      <alignment horizontal="left" vertical="top" indent="1" wrapText="false"/>
    </xf>
    <xf numFmtId="0" fontId="283" fillId="6" borderId="6" xfId="0" applyFill="true" applyFont="true" applyBorder="true">
      <alignment horizontal="left" vertical="top" indent="1" wrapText="false"/>
    </xf>
    <xf numFmtId="0" fontId="284" fillId="6" borderId="6" xfId="0" applyFill="true" applyFont="true" applyBorder="true">
      <alignment horizontal="left" vertical="top" indent="1" wrapText="false"/>
    </xf>
    <xf numFmtId="0" fontId="285" fillId="6" borderId="6" xfId="0" applyFill="true" applyFont="true" applyBorder="true">
      <alignment horizontal="left" vertical="top" indent="1" wrapText="false"/>
    </xf>
    <xf numFmtId="166" fontId="286" fillId="6" borderId="6" xfId="0" applyFill="true" applyFont="true" applyBorder="true" applyNumberFormat="true">
      <alignment horizontal="right" vertical="top" indent="1" wrapText="false"/>
    </xf>
    <xf numFmtId="0" fontId="287" fillId="6" borderId="6" xfId="0" applyFill="true" applyFont="true" applyBorder="true">
      <alignment horizontal="left" vertical="top" indent="1" wrapText="false"/>
    </xf>
    <xf numFmtId="0" fontId="288" fillId="6" borderId="6" xfId="0" applyFill="true" applyFont="true" applyBorder="true">
      <alignment horizontal="left" vertical="top" indent="1" wrapText="false"/>
    </xf>
    <xf numFmtId="167" fontId="289" fillId="6" borderId="6" xfId="0" applyFill="true" applyFont="true" applyBorder="true" applyNumberFormat="true">
      <alignment horizontal="right" vertical="top" indent="1" wrapText="false"/>
    </xf>
    <xf numFmtId="0" fontId="290" fillId="6" borderId="6" xfId="0" applyFill="true" applyFont="true" applyBorder="true">
      <alignment horizontal="left" vertical="top" indent="1" wrapText="false"/>
    </xf>
    <xf numFmtId="0" fontId="291" fillId="6" borderId="6" xfId="0" applyFill="true" applyFont="true" applyBorder="true">
      <alignment horizontal="left" vertical="top" indent="1" wrapText="true"/>
    </xf>
    <xf numFmtId="0" fontId="292" fillId="6" borderId="6" xfId="0" applyFill="true" applyFont="true" applyBorder="true">
      <alignment horizontal="left" vertical="top" indent="1" wrapText="true"/>
    </xf>
    <xf numFmtId="165" fontId="293" fillId="6" borderId="6" xfId="0" applyFill="true" applyFont="true" applyBorder="true" applyNumberFormat="true">
      <alignment horizontal="right" vertical="top" indent="1" wrapText="false"/>
    </xf>
    <xf numFmtId="165" fontId="294" fillId="6" borderId="6" xfId="0" applyFill="true" applyFont="true" applyBorder="true" applyNumberFormat="true">
      <alignment horizontal="right" vertical="top" indent="1" wrapText="false"/>
    </xf>
    <xf numFmtId="165" fontId="295" fillId="6" borderId="6" xfId="0" applyFill="true" applyFont="true" applyBorder="true" applyNumberFormat="true">
      <alignment horizontal="right" vertical="top" indent="1" wrapText="false"/>
    </xf>
    <xf numFmtId="165" fontId="296" fillId="6" borderId="6" xfId="0" applyFill="true" applyFont="true" applyBorder="true" applyNumberFormat="true">
      <alignment horizontal="right" vertical="top" indent="1" wrapText="false"/>
    </xf>
    <xf numFmtId="165" fontId="297" fillId="6" borderId="6" xfId="0" applyFill="true" applyFont="true" applyBorder="true" applyNumberFormat="true">
      <alignment horizontal="right" vertical="top" indent="1" wrapText="false"/>
    </xf>
    <xf numFmtId="0" fontId="298" fillId="6" borderId="6" xfId="0" applyFill="true" applyFont="true" applyBorder="true">
      <alignment horizontal="right" vertical="top" indent="1" wrapText="false"/>
    </xf>
    <xf numFmtId="0" fontId="299" fillId="6" borderId="6" xfId="0" applyFill="true" applyFont="true" applyBorder="true">
      <alignment horizontal="left" vertical="top" indent="1" wrapText="false"/>
    </xf>
    <xf numFmtId="0" fontId="300" fillId="6" borderId="6" xfId="0" applyFill="true" applyFont="true" applyBorder="true">
      <alignment horizontal="left" vertical="top" indent="1" wrapText="false"/>
    </xf>
    <xf numFmtId="0" fontId="301" fillId="6" borderId="6" xfId="0" applyFill="true" applyFont="true" applyBorder="true">
      <alignment horizontal="left" vertical="top" indent="1" wrapText="false"/>
    </xf>
    <xf numFmtId="0" fontId="302" fillId="6" borderId="6" xfId="0" applyFill="true" applyFont="true" applyBorder="true">
      <alignment horizontal="left" vertical="top" indent="1" wrapText="false"/>
    </xf>
    <xf numFmtId="0" fontId="303" fillId="6" borderId="6" xfId="0" applyFill="true" applyFont="true" applyBorder="true">
      <alignment horizontal="left" vertical="top" indent="1" wrapText="false"/>
    </xf>
    <xf numFmtId="0" fontId="304" fillId="6" borderId="6" xfId="0" applyFill="true" applyFont="true" applyBorder="true">
      <alignment horizontal="left" vertical="top" indent="1" wrapText="false"/>
    </xf>
    <xf numFmtId="0" fontId="305" fillId="6" borderId="6" xfId="0" applyFill="true" applyFont="true" applyBorder="true">
      <alignment horizontal="left" vertical="top" indent="1" wrapText="false"/>
    </xf>
    <xf numFmtId="0" fontId="306" fillId="6" borderId="6" xfId="0" applyFill="true" applyFont="true" applyBorder="true">
      <alignment horizontal="left" vertical="top" indent="1" wrapText="false"/>
    </xf>
    <xf numFmtId="0" fontId="307" fillId="6" borderId="6" xfId="0" applyFill="true" applyFont="true" applyBorder="true">
      <alignment horizontal="left" vertical="top" indent="1" wrapText="false"/>
    </xf>
    <xf numFmtId="0" fontId="308" fillId="6" borderId="6" xfId="0" applyFill="true" applyFont="true" applyBorder="true">
      <alignment horizontal="left" vertical="top" indent="1" wrapText="false"/>
    </xf>
    <xf numFmtId="0" fontId="309" fillId="6" borderId="6" xfId="0" applyFill="true" applyFont="true" applyBorder="true">
      <alignment horizontal="right" vertical="top" indent="1" wrapText="false"/>
    </xf>
    <xf numFmtId="0" fontId="310" fillId="6" borderId="6" xfId="0" applyFill="true" applyFont="true" applyBorder="true">
      <alignment horizontal="left" vertical="top" indent="1" wrapText="false"/>
    </xf>
    <xf numFmtId="0" fontId="311" fillId="6" borderId="6" xfId="0" applyFill="true" applyFont="true" applyBorder="true">
      <alignment horizontal="right" vertical="top" indent="1" wrapText="false"/>
    </xf>
    <xf numFmtId="0" fontId="312" fillId="6" borderId="6" xfId="0" applyFill="true" applyFont="true" applyBorder="true">
      <alignment horizontal="right" vertical="top" indent="1" wrapText="false"/>
    </xf>
    <xf numFmtId="0" fontId="313" fillId="6" borderId="6" xfId="0" applyFill="true" applyFont="true" applyBorder="true">
      <alignment horizontal="left" vertical="top" indent="1" wrapText="false"/>
    </xf>
    <xf numFmtId="0" fontId="314" fillId="6" borderId="6" xfId="0" applyFill="true" applyFont="true" applyBorder="true">
      <alignment horizontal="left" vertical="top" indent="1" wrapText="false"/>
    </xf>
    <xf numFmtId="0" fontId="315" fillId="6" borderId="6" xfId="0" applyFill="true" applyFont="true" applyBorder="true">
      <alignment horizontal="left" vertical="top" indent="1" wrapText="false"/>
    </xf>
    <xf numFmtId="0" fontId="316" fillId="6" borderId="6" xfId="0" applyFill="true" applyFont="true" applyBorder="true">
      <alignment horizontal="left" vertical="top" indent="1" wrapText="false"/>
    </xf>
    <xf numFmtId="0" fontId="317" fillId="6" borderId="6" xfId="0" applyFill="true" applyFont="true" applyBorder="true">
      <alignment horizontal="left" vertical="top" indent="1" wrapText="false"/>
    </xf>
    <xf numFmtId="0" fontId="318" fillId="6" borderId="6" xfId="0" applyFill="true" applyFont="true" applyBorder="true">
      <alignment horizontal="right" vertical="top" indent="1" wrapText="false"/>
    </xf>
    <xf numFmtId="0" fontId="319" fillId="6" borderId="6" xfId="0" applyFill="true" applyFont="true" applyBorder="true">
      <alignment horizontal="left" vertical="top" indent="1" wrapText="false"/>
    </xf>
    <xf numFmtId="0" fontId="320" fillId="6" borderId="6" xfId="0" applyFill="true" applyFont="true" applyBorder="true">
      <alignment horizontal="left" vertical="top" indent="1" wrapText="false"/>
    </xf>
    <xf numFmtId="0" fontId="321" fillId="6" borderId="6" xfId="0" applyFill="true" applyFont="true" applyBorder="true">
      <alignment horizontal="left" vertical="top" indent="1" wrapText="false"/>
    </xf>
    <xf numFmtId="0" fontId="322" fillId="6" borderId="6" xfId="0" applyFill="true" applyFont="true" applyBorder="true">
      <alignment horizontal="left" vertical="top" indent="1" wrapText="false"/>
    </xf>
    <xf numFmtId="0" fontId="323" fillId="6" borderId="6" xfId="0" applyFill="true" applyFont="true" applyBorder="true">
      <alignment horizontal="left" vertical="top" indent="1" wrapText="false"/>
    </xf>
    <xf numFmtId="0" fontId="324" fillId="6" borderId="6" xfId="0" applyFill="true" applyFont="true" applyBorder="true">
      <alignment horizontal="left" vertical="top" indent="1" wrapText="false"/>
    </xf>
    <xf numFmtId="0" fontId="325" fillId="6" borderId="6" xfId="0" applyFill="true" applyFont="true" applyBorder="true">
      <alignment horizontal="left" vertical="top" indent="1" wrapText="false"/>
    </xf>
    <xf numFmtId="0" fontId="326" fillId="6" borderId="6" xfId="0" applyFill="true" applyFont="true" applyBorder="true">
      <alignment horizontal="left" vertical="top" indent="1" wrapText="false"/>
    </xf>
    <xf numFmtId="168" fontId="327" fillId="6" borderId="6" xfId="0" applyFill="true" applyFont="true" applyBorder="true" applyNumberFormat="true">
      <alignment horizontal="right" vertical="top" indent="1" wrapText="false"/>
    </xf>
    <xf numFmtId="165" fontId="328" fillId="6" borderId="6" xfId="0" applyFill="true" applyFont="true" applyBorder="true" applyNumberFormat="true">
      <alignment horizontal="right" vertical="top" indent="1" wrapText="false"/>
    </xf>
    <xf numFmtId="0" fontId="329" fillId="6" borderId="6" xfId="0" applyFill="true" applyFont="true" applyBorder="true">
      <alignment horizontal="left" vertical="top" indent="1" wrapText="false"/>
    </xf>
    <xf numFmtId="165" fontId="330" fillId="6" borderId="6" xfId="0" applyFill="true" applyFont="true" applyBorder="true" applyNumberFormat="true">
      <alignment horizontal="right" vertical="top" indent="1" wrapText="false"/>
    </xf>
    <xf numFmtId="0" fontId="331" fillId="6" borderId="6" xfId="0" applyFill="true" applyFont="true" applyBorder="true">
      <alignment horizontal="left" vertical="top" indent="1" wrapText="false"/>
    </xf>
    <xf numFmtId="0" fontId="332" fillId="6" borderId="6" xfId="0" applyFill="true" applyFont="true" applyBorder="true">
      <alignment horizontal="left" vertical="top" indent="1" wrapText="false"/>
    </xf>
    <xf numFmtId="0" fontId="333" fillId="6" borderId="6" xfId="0" applyFill="true" applyFont="true" applyBorder="true">
      <alignment horizontal="left" vertical="top" indent="1" wrapText="false"/>
    </xf>
    <xf numFmtId="0" fontId="334" fillId="6" borderId="6" xfId="0" applyFill="true" applyFont="true" applyBorder="true">
      <alignment horizontal="left" vertical="top" indent="1" wrapText="false"/>
    </xf>
    <xf numFmtId="0" fontId="335" fillId="6" borderId="6" xfId="0" applyFill="true" applyFont="true" applyBorder="true">
      <alignment horizontal="left" vertical="top" indent="1" wrapText="false"/>
    </xf>
    <xf numFmtId="0" fontId="336" fillId="6" borderId="6" xfId="0" applyFill="true" applyFont="true" applyBorder="true">
      <alignment horizontal="left" vertical="top" indent="1" wrapText="false"/>
    </xf>
    <xf numFmtId="0" fontId="337" fillId="6" borderId="6" xfId="0" applyFill="true" applyFont="true" applyBorder="true">
      <alignment horizontal="left" vertical="top" indent="1" wrapText="false"/>
    </xf>
    <xf numFmtId="0" fontId="338" fillId="6" borderId="6" xfId="0" applyFill="true" applyFont="true" applyBorder="true">
      <alignment horizontal="left" vertical="top" indent="1" wrapText="false"/>
    </xf>
    <xf numFmtId="0" fontId="339" fillId="6" borderId="6" xfId="0" applyFill="true" applyFont="true" applyBorder="true">
      <alignment horizontal="left" vertical="top" indent="1" wrapText="false"/>
    </xf>
    <xf numFmtId="168" fontId="340" fillId="6" borderId="6" xfId="0" applyFill="true" applyFont="true" applyBorder="true" applyNumberFormat="true">
      <alignment horizontal="right" vertical="top" indent="1" wrapText="false"/>
    </xf>
    <xf numFmtId="165" fontId="341" fillId="6" borderId="6" xfId="0" applyFill="true" applyFont="true" applyBorder="true" applyNumberFormat="true">
      <alignment horizontal="right" vertical="top" indent="1" wrapText="false"/>
    </xf>
    <xf numFmtId="0" fontId="342" fillId="6" borderId="6" xfId="0" applyFill="true" applyFont="true" applyBorder="true">
      <alignment horizontal="left" vertical="top" indent="1" wrapText="false"/>
    </xf>
    <xf numFmtId="165" fontId="343" fillId="6" borderId="6" xfId="0" applyFill="true" applyFont="true" applyBorder="true" applyNumberFormat="true">
      <alignment horizontal="right" vertical="top" indent="1" wrapText="false"/>
    </xf>
    <xf numFmtId="0" fontId="344" fillId="6" borderId="6" xfId="0" applyFill="true" applyFont="true" applyBorder="true">
      <alignment horizontal="left" vertical="top" indent="1" wrapText="false"/>
    </xf>
    <xf numFmtId="0" fontId="345" fillId="6" borderId="6" xfId="0" applyFill="true" applyFont="true" applyBorder="true">
      <alignment horizontal="left" vertical="top" indent="1" wrapText="false"/>
    </xf>
    <xf numFmtId="0" fontId="346" fillId="6" borderId="6" xfId="0" applyFill="true" applyFont="true" applyBorder="true">
      <alignment horizontal="left" vertical="top" indent="1" wrapText="false"/>
    </xf>
    <xf numFmtId="0" fontId="347" fillId="6" borderId="6" xfId="0" applyFill="true" applyFont="true" applyBorder="true">
      <alignment horizontal="left" vertical="top" indent="1" wrapText="false"/>
    </xf>
    <xf numFmtId="0" fontId="348" fillId="6" borderId="6" xfId="0" applyFill="true" applyFont="true" applyBorder="true">
      <alignment horizontal="left" vertical="top" indent="1" wrapText="false"/>
    </xf>
    <xf numFmtId="0" fontId="349" fillId="6" borderId="6" xfId="0" applyFill="true" applyFont="true" applyBorder="true">
      <alignment horizontal="left" vertical="top" indent="1" wrapText="false"/>
    </xf>
    <xf numFmtId="0" fontId="350" fillId="6" borderId="6" xfId="0" applyFill="true" applyFont="true" applyBorder="true">
      <alignment horizontal="left" vertical="top" indent="1" wrapText="false"/>
    </xf>
    <xf numFmtId="0" fontId="351" fillId="6" borderId="6" xfId="0" applyFill="true" applyFont="true" applyBorder="true">
      <alignment horizontal="left" vertical="top" indent="1" wrapText="false"/>
    </xf>
    <xf numFmtId="0" fontId="352" fillId="6" borderId="6" xfId="0" applyFill="true" applyFont="true" applyBorder="true">
      <alignment horizontal="left" vertical="top" indent="1" wrapText="false"/>
    </xf>
    <xf numFmtId="169" fontId="353" fillId="6" borderId="6" xfId="0" applyFill="true" applyFont="true" applyBorder="true" applyNumberFormat="true">
      <alignment horizontal="right" vertical="top" indent="1" wrapText="false"/>
    </xf>
    <xf numFmtId="170" fontId="354" fillId="6" borderId="6" xfId="0" applyFill="true" applyFont="true" applyBorder="true" applyNumberFormat="true">
      <alignment horizontal="right" vertical="top" indent="1" wrapText="false"/>
    </xf>
    <xf numFmtId="169" fontId="355" fillId="6" borderId="6" xfId="0" applyFill="true" applyFont="true" applyBorder="true" applyNumberFormat="true">
      <alignment horizontal="right" vertical="top" indent="1" wrapText="false"/>
    </xf>
    <xf numFmtId="169" fontId="356" fillId="6" borderId="6" xfId="0" applyFill="true" applyFont="true" applyBorder="true" applyNumberFormat="true">
      <alignment horizontal="right" vertical="top" indent="1" wrapText="false"/>
    </xf>
    <xf numFmtId="169" fontId="357" fillId="6" borderId="6" xfId="0" applyFill="true" applyFont="true" applyBorder="true" applyNumberFormat="true">
      <alignment horizontal="right" vertical="top" indent="1" wrapText="false"/>
    </xf>
    <xf numFmtId="170" fontId="358" fillId="6" borderId="6" xfId="0" applyFill="true" applyFont="true" applyBorder="true" applyNumberFormat="true">
      <alignment horizontal="right" vertical="top" indent="1" wrapText="false"/>
    </xf>
    <xf numFmtId="169" fontId="359" fillId="6" borderId="6" xfId="0" applyFill="true" applyFont="true" applyBorder="true" applyNumberFormat="true">
      <alignment horizontal="right" vertical="top" indent="1" wrapText="false"/>
    </xf>
    <xf numFmtId="170" fontId="360" fillId="6" borderId="6" xfId="0" applyFill="true" applyFont="true" applyBorder="true" applyNumberFormat="true">
      <alignment horizontal="right" vertical="top" indent="1" wrapText="false"/>
    </xf>
    <xf numFmtId="169" fontId="361" fillId="6" borderId="6" xfId="0" applyFill="true" applyFont="true" applyBorder="true" applyNumberFormat="true">
      <alignment horizontal="right" vertical="top" indent="1" wrapText="false"/>
    </xf>
    <xf numFmtId="170" fontId="362" fillId="6" borderId="6" xfId="0" applyFill="true" applyFont="true" applyBorder="true" applyNumberFormat="true">
      <alignment horizontal="right" vertical="top" indent="1" wrapText="false"/>
    </xf>
    <xf numFmtId="169" fontId="363" fillId="6" borderId="6" xfId="0" applyFill="true" applyFont="true" applyBorder="true" applyNumberFormat="true">
      <alignment horizontal="right" vertical="top" indent="1" wrapText="false"/>
    </xf>
    <xf numFmtId="170" fontId="364" fillId="6" borderId="6" xfId="0" applyFill="true" applyFont="true" applyBorder="true" applyNumberFormat="true">
      <alignment horizontal="right" vertical="top" indent="1" wrapText="false"/>
    </xf>
    <xf numFmtId="169" fontId="365" fillId="6" borderId="6" xfId="0" applyFill="true" applyFont="true" applyBorder="true" applyNumberFormat="true">
      <alignment horizontal="right" vertical="top" indent="1" wrapText="false"/>
    </xf>
    <xf numFmtId="170" fontId="366" fillId="6" borderId="6" xfId="0" applyFill="true" applyFont="true" applyBorder="true" applyNumberFormat="true">
      <alignment horizontal="right" vertical="top" indent="1" wrapText="false"/>
    </xf>
    <xf numFmtId="169" fontId="367" fillId="6" borderId="6" xfId="0" applyFill="true" applyFont="true" applyBorder="true" applyNumberFormat="true">
      <alignment horizontal="right" vertical="top" indent="1" wrapText="false"/>
    </xf>
    <xf numFmtId="170" fontId="368" fillId="6" borderId="6" xfId="0" applyFill="true" applyFont="true" applyBorder="true" applyNumberFormat="true">
      <alignment horizontal="right" vertical="top" indent="1" wrapText="false"/>
    </xf>
    <xf numFmtId="171" fontId="369" fillId="6" borderId="6" xfId="0" applyFill="true" applyFont="true" applyBorder="true" applyNumberFormat="true">
      <alignment horizontal="right" vertical="top" indent="1" wrapText="false"/>
    </xf>
    <xf numFmtId="170" fontId="370" fillId="6" borderId="6" xfId="0" applyFill="true" applyFont="true" applyBorder="true" applyNumberFormat="true">
      <alignment horizontal="right" vertical="top" indent="1" wrapText="false"/>
    </xf>
    <xf numFmtId="171" fontId="371" fillId="6" borderId="6" xfId="0" applyFill="true" applyFont="true" applyBorder="true" applyNumberFormat="true">
      <alignment horizontal="right" vertical="top" indent="1" wrapText="false"/>
    </xf>
    <xf numFmtId="169" fontId="372" fillId="6" borderId="6" xfId="0" applyFill="true" applyFont="true" applyBorder="true" applyNumberFormat="true">
      <alignment horizontal="right" vertical="top" indent="1" wrapText="false"/>
    </xf>
    <xf numFmtId="171" fontId="373" fillId="6" borderId="6" xfId="0" applyFill="true" applyFont="true" applyBorder="true" applyNumberFormat="true">
      <alignment horizontal="right" vertical="top" indent="1" wrapText="false"/>
    </xf>
    <xf numFmtId="170" fontId="374" fillId="6" borderId="6" xfId="0" applyFill="true" applyFont="true" applyBorder="true" applyNumberFormat="true">
      <alignment horizontal="right" vertical="top" indent="1" wrapText="false"/>
    </xf>
    <xf numFmtId="171" fontId="375" fillId="6" borderId="6" xfId="0" applyFill="true" applyFont="true" applyBorder="true" applyNumberFormat="true">
      <alignment horizontal="right" vertical="top" indent="1" wrapText="false"/>
    </xf>
    <xf numFmtId="170" fontId="376" fillId="6" borderId="6" xfId="0" applyFill="true" applyFont="true" applyBorder="true" applyNumberFormat="true">
      <alignment horizontal="right" vertical="top" indent="1" wrapText="false"/>
    </xf>
    <xf numFmtId="171" fontId="377" fillId="6" borderId="6" xfId="0" applyFill="true" applyFont="true" applyBorder="true" applyNumberFormat="true">
      <alignment horizontal="right" vertical="top" indent="1" wrapText="false"/>
    </xf>
    <xf numFmtId="170" fontId="378" fillId="6" borderId="6" xfId="0" applyFill="true" applyFont="true" applyBorder="true" applyNumberFormat="true">
      <alignment horizontal="right" vertical="top" indent="1" wrapText="false"/>
    </xf>
    <xf numFmtId="171" fontId="379" fillId="6" borderId="6" xfId="0" applyFill="true" applyFont="true" applyBorder="true" applyNumberFormat="true">
      <alignment horizontal="right" vertical="top" indent="1" wrapText="false"/>
    </xf>
    <xf numFmtId="170" fontId="380" fillId="6" borderId="6" xfId="0" applyFill="true" applyFont="true" applyBorder="true" applyNumberFormat="true">
      <alignment horizontal="right" vertical="top" indent="1" wrapText="false"/>
    </xf>
    <xf numFmtId="171" fontId="381" fillId="6" borderId="6" xfId="0" applyFill="true" applyFont="true" applyBorder="true" applyNumberFormat="true">
      <alignment horizontal="right" vertical="top" indent="1" wrapText="false"/>
    </xf>
    <xf numFmtId="170" fontId="382" fillId="6" borderId="6" xfId="0" applyFill="true" applyFont="true" applyBorder="true" applyNumberFormat="true">
      <alignment horizontal="right" vertical="top" indent="1" wrapText="false"/>
    </xf>
    <xf numFmtId="171" fontId="383" fillId="6" borderId="6" xfId="0" applyFill="true" applyFont="true" applyBorder="true" applyNumberFormat="true">
      <alignment horizontal="right" vertical="top" indent="1" wrapText="false"/>
    </xf>
    <xf numFmtId="170" fontId="384" fillId="6" borderId="6" xfId="0" applyFill="true" applyFont="true" applyBorder="true" applyNumberFormat="true">
      <alignment horizontal="right" vertical="top" indent="1" wrapText="false"/>
    </xf>
    <xf numFmtId="170" fontId="385" fillId="6" borderId="6" xfId="0" applyFill="true" applyFont="true" applyBorder="true" applyNumberFormat="true">
      <alignment horizontal="right" vertical="top" indent="1" wrapText="false"/>
    </xf>
    <xf numFmtId="170" fontId="386" fillId="6" borderId="6" xfId="0" applyFill="true" applyFont="true" applyBorder="true" applyNumberFormat="true">
      <alignment horizontal="right" vertical="top" indent="1" wrapText="false"/>
    </xf>
    <xf numFmtId="169" fontId="387" fillId="6" borderId="6" xfId="0" applyFill="true" applyFont="true" applyBorder="true" applyNumberFormat="true">
      <alignment horizontal="right" vertical="top" indent="1" wrapText="false"/>
    </xf>
    <xf numFmtId="170" fontId="388" fillId="6" borderId="6" xfId="0" applyFill="true" applyFont="true" applyBorder="true" applyNumberFormat="true">
      <alignment horizontal="right" vertical="top" indent="1" wrapText="false"/>
    </xf>
    <xf numFmtId="170" fontId="389" fillId="6" borderId="6" xfId="0" applyFill="true" applyFont="true" applyBorder="true" applyNumberFormat="true">
      <alignment horizontal="right" vertical="top" indent="1" wrapText="false"/>
    </xf>
    <xf numFmtId="169" fontId="390" fillId="6" borderId="6" xfId="0" applyFill="true" applyFont="true" applyBorder="true" applyNumberFormat="true">
      <alignment horizontal="right" vertical="top" indent="1" wrapText="false"/>
    </xf>
    <xf numFmtId="170" fontId="391" fillId="6" borderId="6" xfId="0" applyFill="true" applyFont="true" applyBorder="true" applyNumberFormat="true">
      <alignment horizontal="right" vertical="top" indent="1" wrapText="false"/>
    </xf>
    <xf numFmtId="170" fontId="392" fillId="6" borderId="6" xfId="0" applyFill="true" applyFont="true" applyBorder="true" applyNumberFormat="true">
      <alignment horizontal="right" vertical="top" indent="1" wrapText="false"/>
    </xf>
    <xf numFmtId="169" fontId="393" fillId="6" borderId="6" xfId="0" applyFill="true" applyFont="true" applyBorder="true" applyNumberFormat="true">
      <alignment horizontal="right" vertical="top" indent="1" wrapText="false"/>
    </xf>
    <xf numFmtId="170" fontId="394" fillId="6" borderId="6" xfId="0" applyFill="true" applyFont="true" applyBorder="true" applyNumberFormat="true">
      <alignment horizontal="right" vertical="top" indent="1" wrapText="false"/>
    </xf>
    <xf numFmtId="170" fontId="395" fillId="6" borderId="6" xfId="0" applyFill="true" applyFont="true" applyBorder="true" applyNumberFormat="true">
      <alignment horizontal="right" vertical="top" indent="1" wrapText="false"/>
    </xf>
    <xf numFmtId="169" fontId="396" fillId="6" borderId="6" xfId="0" applyFill="true" applyFont="true" applyBorder="true" applyNumberFormat="true">
      <alignment horizontal="right" vertical="top" indent="1" wrapText="false"/>
    </xf>
    <xf numFmtId="0" fontId="397" fillId="6" borderId="6" xfId="0" applyFill="true" applyFont="true" applyBorder="true">
      <alignment horizontal="right" vertical="top" indent="1" wrapText="false"/>
    </xf>
    <xf numFmtId="0" fontId="398" fillId="6" borderId="6" xfId="0" applyFill="true" applyFont="true" applyBorder="true">
      <alignment horizontal="general" vertical="top" indent="1" wrapText="false"/>
    </xf>
    <xf numFmtId="0" fontId="399" fillId="8" borderId="6" xfId="0" applyFill="true" applyFont="true" applyBorder="true">
      <alignment horizontal="general" vertical="top" indent="1" wrapText="false"/>
    </xf>
    <xf numFmtId="0" fontId="400" fillId="8" borderId="6" xfId="0" applyFill="true" applyFont="true" applyBorder="true">
      <alignment horizontal="left" vertical="top" indent="1" wrapText="false"/>
    </xf>
    <xf numFmtId="0" fontId="401" fillId="8" borderId="6" xfId="0" applyFill="true" applyFont="true" applyBorder="true">
      <alignment horizontal="left" vertical="top" indent="1" wrapText="false"/>
    </xf>
    <xf numFmtId="0" fontId="402" fillId="8" borderId="6" xfId="0" applyFill="true" applyFont="true" applyBorder="true">
      <alignment horizontal="left" vertical="top" indent="1" wrapText="false"/>
    </xf>
    <xf numFmtId="0" fontId="403" fillId="8" borderId="6" xfId="0" applyFill="true" applyFont="true" applyBorder="true">
      <alignment horizontal="left" vertical="top" indent="1" wrapText="false"/>
    </xf>
    <xf numFmtId="0" fontId="404" fillId="8" borderId="6" xfId="0" applyFill="true" applyFont="true" applyBorder="true">
      <alignment horizontal="left" vertical="top" indent="1" wrapText="false"/>
    </xf>
    <xf numFmtId="0" fontId="405" fillId="8" borderId="6" xfId="0" applyFill="true" applyFont="true" applyBorder="true">
      <alignment horizontal="left" vertical="top" indent="1" wrapText="false"/>
    </xf>
    <xf numFmtId="0" fontId="406" fillId="8" borderId="6" xfId="0" applyFill="true" applyFont="true" applyBorder="true">
      <alignment horizontal="left" vertical="top" indent="1" wrapText="false"/>
    </xf>
    <xf numFmtId="0" fontId="407" fillId="8" borderId="6" xfId="0" applyFill="true" applyFont="true" applyBorder="true">
      <alignment horizontal="left" vertical="top" indent="1" wrapText="false"/>
    </xf>
    <xf numFmtId="0" fontId="408" fillId="8" borderId="6" xfId="0" applyFill="true" applyFont="true" applyBorder="true">
      <alignment horizontal="left" vertical="top" indent="1" wrapText="false"/>
    </xf>
    <xf numFmtId="0" fontId="409" fillId="8" borderId="6" xfId="0" applyFill="true" applyFont="true" applyBorder="true">
      <alignment horizontal="left" vertical="top" indent="1" wrapText="false"/>
    </xf>
    <xf numFmtId="0" fontId="410" fillId="8" borderId="6" xfId="0" applyFill="true" applyFont="true" applyBorder="true">
      <alignment horizontal="left" vertical="top" indent="1" wrapText="false"/>
    </xf>
    <xf numFmtId="165" fontId="411" fillId="8" borderId="6" xfId="0" applyFill="true" applyFont="true" applyBorder="true" applyNumberFormat="true">
      <alignment horizontal="right" vertical="top" indent="1" wrapText="false"/>
    </xf>
    <xf numFmtId="0" fontId="412" fillId="8" borderId="6" xfId="0" applyFill="true" applyFont="true" applyBorder="true">
      <alignment horizontal="left" vertical="top" indent="1" wrapText="false"/>
    </xf>
    <xf numFmtId="0" fontId="413" fillId="8" borderId="6" xfId="0" applyFill="true" applyFont="true" applyBorder="true">
      <alignment horizontal="left" vertical="top" indent="1" wrapText="false"/>
    </xf>
    <xf numFmtId="0" fontId="414" fillId="8" borderId="6" xfId="0" applyFill="true" applyFont="true" applyBorder="true">
      <alignment horizontal="left" vertical="top" indent="1" wrapText="false"/>
    </xf>
    <xf numFmtId="0" fontId="415" fillId="8" borderId="6" xfId="0" applyFill="true" applyFont="true" applyBorder="true">
      <alignment horizontal="left" vertical="top" indent="1" wrapText="false"/>
    </xf>
    <xf numFmtId="166" fontId="416" fillId="8" borderId="6" xfId="0" applyFill="true" applyFont="true" applyBorder="true" applyNumberFormat="true">
      <alignment horizontal="right" vertical="top" indent="1" wrapText="false"/>
    </xf>
    <xf numFmtId="0" fontId="417" fillId="8" borderId="6" xfId="0" applyFill="true" applyFont="true" applyBorder="true">
      <alignment horizontal="left" vertical="top" indent="1" wrapText="false"/>
    </xf>
    <xf numFmtId="0" fontId="418" fillId="8" borderId="6" xfId="0" applyFill="true" applyFont="true" applyBorder="true">
      <alignment horizontal="left" vertical="top" indent="1" wrapText="false"/>
    </xf>
    <xf numFmtId="167" fontId="419" fillId="8" borderId="6" xfId="0" applyFill="true" applyFont="true" applyBorder="true" applyNumberFormat="true">
      <alignment horizontal="right" vertical="top" indent="1" wrapText="false"/>
    </xf>
    <xf numFmtId="0" fontId="420" fillId="8" borderId="6" xfId="0" applyFill="true" applyFont="true" applyBorder="true">
      <alignment horizontal="left" vertical="top" indent="1" wrapText="false"/>
    </xf>
    <xf numFmtId="0" fontId="421" fillId="8" borderId="6" xfId="0" applyFill="true" applyFont="true" applyBorder="true">
      <alignment horizontal="left" vertical="top" indent="1" wrapText="true"/>
    </xf>
    <xf numFmtId="0" fontId="422" fillId="8" borderId="6" xfId="0" applyFill="true" applyFont="true" applyBorder="true">
      <alignment horizontal="left" vertical="top" indent="1" wrapText="true"/>
    </xf>
    <xf numFmtId="165" fontId="423" fillId="8" borderId="6" xfId="0" applyFill="true" applyFont="true" applyBorder="true" applyNumberFormat="true">
      <alignment horizontal="right" vertical="top" indent="1" wrapText="false"/>
    </xf>
    <xf numFmtId="165" fontId="424" fillId="8" borderId="6" xfId="0" applyFill="true" applyFont="true" applyBorder="true" applyNumberFormat="true">
      <alignment horizontal="right" vertical="top" indent="1" wrapText="false"/>
    </xf>
    <xf numFmtId="165" fontId="425" fillId="8" borderId="6" xfId="0" applyFill="true" applyFont="true" applyBorder="true" applyNumberFormat="true">
      <alignment horizontal="right" vertical="top" indent="1" wrapText="false"/>
    </xf>
    <xf numFmtId="165" fontId="426" fillId="8" borderId="6" xfId="0" applyFill="true" applyFont="true" applyBorder="true" applyNumberFormat="true">
      <alignment horizontal="right" vertical="top" indent="1" wrapText="false"/>
    </xf>
    <xf numFmtId="165" fontId="427" fillId="8" borderId="6" xfId="0" applyFill="true" applyFont="true" applyBorder="true" applyNumberFormat="true">
      <alignment horizontal="right" vertical="top" indent="1" wrapText="false"/>
    </xf>
    <xf numFmtId="0" fontId="428" fillId="8" borderId="6" xfId="0" applyFill="true" applyFont="true" applyBorder="true">
      <alignment horizontal="right" vertical="top" indent="1" wrapText="false"/>
    </xf>
    <xf numFmtId="0" fontId="429" fillId="8" borderId="6" xfId="0" applyFill="true" applyFont="true" applyBorder="true">
      <alignment horizontal="left" vertical="top" indent="1" wrapText="false"/>
    </xf>
    <xf numFmtId="0" fontId="430" fillId="8" borderId="6" xfId="0" applyFill="true" applyFont="true" applyBorder="true">
      <alignment horizontal="left" vertical="top" indent="1" wrapText="false"/>
    </xf>
    <xf numFmtId="0" fontId="431" fillId="8" borderId="6" xfId="0" applyFill="true" applyFont="true" applyBorder="true">
      <alignment horizontal="left" vertical="top" indent="1" wrapText="false"/>
    </xf>
    <xf numFmtId="0" fontId="432" fillId="8" borderId="6" xfId="0" applyFill="true" applyFont="true" applyBorder="true">
      <alignment horizontal="left" vertical="top" indent="1" wrapText="false"/>
    </xf>
    <xf numFmtId="0" fontId="433" fillId="8" borderId="6" xfId="0" applyFill="true" applyFont="true" applyBorder="true">
      <alignment horizontal="left" vertical="top" indent="1" wrapText="false"/>
    </xf>
    <xf numFmtId="0" fontId="434" fillId="8" borderId="6" xfId="0" applyFill="true" applyFont="true" applyBorder="true">
      <alignment horizontal="left" vertical="top" indent="1" wrapText="false"/>
    </xf>
    <xf numFmtId="0" fontId="435" fillId="8" borderId="6" xfId="0" applyFill="true" applyFont="true" applyBorder="true">
      <alignment horizontal="left" vertical="top" indent="1" wrapText="false"/>
    </xf>
    <xf numFmtId="0" fontId="436" fillId="8" borderId="6" xfId="0" applyFill="true" applyFont="true" applyBorder="true">
      <alignment horizontal="left" vertical="top" indent="1" wrapText="false"/>
    </xf>
    <xf numFmtId="0" fontId="437" fillId="8" borderId="6" xfId="0" applyFill="true" applyFont="true" applyBorder="true">
      <alignment horizontal="left" vertical="top" indent="1" wrapText="false"/>
    </xf>
    <xf numFmtId="0" fontId="438" fillId="8" borderId="6" xfId="0" applyFill="true" applyFont="true" applyBorder="true">
      <alignment horizontal="left" vertical="top" indent="1" wrapText="false"/>
    </xf>
    <xf numFmtId="0" fontId="439" fillId="8" borderId="6" xfId="0" applyFill="true" applyFont="true" applyBorder="true">
      <alignment horizontal="right" vertical="top" indent="1" wrapText="false"/>
    </xf>
    <xf numFmtId="0" fontId="440" fillId="8" borderId="6" xfId="0" applyFill="true" applyFont="true" applyBorder="true">
      <alignment horizontal="left" vertical="top" indent="1" wrapText="false"/>
    </xf>
    <xf numFmtId="0" fontId="441" fillId="8" borderId="6" xfId="0" applyFill="true" applyFont="true" applyBorder="true">
      <alignment horizontal="right" vertical="top" indent="1" wrapText="false"/>
    </xf>
    <xf numFmtId="0" fontId="442" fillId="8" borderId="6" xfId="0" applyFill="true" applyFont="true" applyBorder="true">
      <alignment horizontal="right" vertical="top" indent="1" wrapText="false"/>
    </xf>
    <xf numFmtId="0" fontId="443" fillId="8" borderId="6" xfId="0" applyFill="true" applyFont="true" applyBorder="true">
      <alignment horizontal="left" vertical="top" indent="1" wrapText="false"/>
    </xf>
    <xf numFmtId="0" fontId="444" fillId="8" borderId="6" xfId="0" applyFill="true" applyFont="true" applyBorder="true">
      <alignment horizontal="left" vertical="top" indent="1" wrapText="false"/>
    </xf>
    <xf numFmtId="0" fontId="445" fillId="8" borderId="6" xfId="0" applyFill="true" applyFont="true" applyBorder="true">
      <alignment horizontal="left" vertical="top" indent="1" wrapText="false"/>
    </xf>
    <xf numFmtId="0" fontId="446" fillId="8" borderId="6" xfId="0" applyFill="true" applyFont="true" applyBorder="true">
      <alignment horizontal="left" vertical="top" indent="1" wrapText="false"/>
    </xf>
    <xf numFmtId="0" fontId="447" fillId="8" borderId="6" xfId="0" applyFill="true" applyFont="true" applyBorder="true">
      <alignment horizontal="left" vertical="top" indent="1" wrapText="false"/>
    </xf>
    <xf numFmtId="0" fontId="448" fillId="8" borderId="6" xfId="0" applyFill="true" applyFont="true" applyBorder="true">
      <alignment horizontal="right" vertical="top" indent="1" wrapText="false"/>
    </xf>
    <xf numFmtId="0" fontId="449" fillId="8" borderId="6" xfId="0" applyFill="true" applyFont="true" applyBorder="true">
      <alignment horizontal="left" vertical="top" indent="1" wrapText="false"/>
    </xf>
    <xf numFmtId="0" fontId="450" fillId="8" borderId="6" xfId="0" applyFill="true" applyFont="true" applyBorder="true">
      <alignment horizontal="left" vertical="top" indent="1" wrapText="false"/>
    </xf>
    <xf numFmtId="0" fontId="451" fillId="8" borderId="6" xfId="0" applyFill="true" applyFont="true" applyBorder="true">
      <alignment horizontal="left" vertical="top" indent="1" wrapText="false"/>
    </xf>
    <xf numFmtId="0" fontId="452" fillId="8" borderId="6" xfId="0" applyFill="true" applyFont="true" applyBorder="true">
      <alignment horizontal="left" vertical="top" indent="1" wrapText="false"/>
    </xf>
    <xf numFmtId="0" fontId="453" fillId="8" borderId="6" xfId="0" applyFill="true" applyFont="true" applyBorder="true">
      <alignment horizontal="left" vertical="top" indent="1" wrapText="false"/>
    </xf>
    <xf numFmtId="0" fontId="454" fillId="8" borderId="6" xfId="0" applyFill="true" applyFont="true" applyBorder="true">
      <alignment horizontal="left" vertical="top" indent="1" wrapText="false"/>
    </xf>
    <xf numFmtId="0" fontId="455" fillId="8" borderId="6" xfId="0" applyFill="true" applyFont="true" applyBorder="true">
      <alignment horizontal="left" vertical="top" indent="1" wrapText="false"/>
    </xf>
    <xf numFmtId="0" fontId="456" fillId="8" borderId="6" xfId="0" applyFill="true" applyFont="true" applyBorder="true">
      <alignment horizontal="left" vertical="top" indent="1" wrapText="false"/>
    </xf>
    <xf numFmtId="168" fontId="457" fillId="8" borderId="6" xfId="0" applyFill="true" applyFont="true" applyBorder="true" applyNumberFormat="true">
      <alignment horizontal="right" vertical="top" indent="1" wrapText="false"/>
    </xf>
    <xf numFmtId="165" fontId="458" fillId="8" borderId="6" xfId="0" applyFill="true" applyFont="true" applyBorder="true" applyNumberFormat="true">
      <alignment horizontal="right" vertical="top" indent="1" wrapText="false"/>
    </xf>
    <xf numFmtId="0" fontId="459" fillId="8" borderId="6" xfId="0" applyFill="true" applyFont="true" applyBorder="true">
      <alignment horizontal="left" vertical="top" indent="1" wrapText="false"/>
    </xf>
    <xf numFmtId="165" fontId="460" fillId="8" borderId="6" xfId="0" applyFill="true" applyFont="true" applyBorder="true" applyNumberFormat="true">
      <alignment horizontal="right" vertical="top" indent="1" wrapText="false"/>
    </xf>
    <xf numFmtId="0" fontId="461" fillId="8" borderId="6" xfId="0" applyFill="true" applyFont="true" applyBorder="true">
      <alignment horizontal="left" vertical="top" indent="1" wrapText="false"/>
    </xf>
    <xf numFmtId="0" fontId="462" fillId="8" borderId="6" xfId="0" applyFill="true" applyFont="true" applyBorder="true">
      <alignment horizontal="left" vertical="top" indent="1" wrapText="false"/>
    </xf>
    <xf numFmtId="0" fontId="463" fillId="8" borderId="6" xfId="0" applyFill="true" applyFont="true" applyBorder="true">
      <alignment horizontal="left" vertical="top" indent="1" wrapText="false"/>
    </xf>
    <xf numFmtId="0" fontId="464" fillId="8" borderId="6" xfId="0" applyFill="true" applyFont="true" applyBorder="true">
      <alignment horizontal="left" vertical="top" indent="1" wrapText="false"/>
    </xf>
    <xf numFmtId="0" fontId="465" fillId="8" borderId="6" xfId="0" applyFill="true" applyFont="true" applyBorder="true">
      <alignment horizontal="left" vertical="top" indent="1" wrapText="false"/>
    </xf>
    <xf numFmtId="0" fontId="466" fillId="8" borderId="6" xfId="0" applyFill="true" applyFont="true" applyBorder="true">
      <alignment horizontal="left" vertical="top" indent="1" wrapText="false"/>
    </xf>
    <xf numFmtId="0" fontId="467" fillId="8" borderId="6" xfId="0" applyFill="true" applyFont="true" applyBorder="true">
      <alignment horizontal="left" vertical="top" indent="1" wrapText="false"/>
    </xf>
    <xf numFmtId="0" fontId="468" fillId="8" borderId="6" xfId="0" applyFill="true" applyFont="true" applyBorder="true">
      <alignment horizontal="left" vertical="top" indent="1" wrapText="false"/>
    </xf>
    <xf numFmtId="0" fontId="469" fillId="8" borderId="6" xfId="0" applyFill="true" applyFont="true" applyBorder="true">
      <alignment horizontal="left" vertical="top" indent="1" wrapText="false"/>
    </xf>
    <xf numFmtId="168" fontId="470" fillId="8" borderId="6" xfId="0" applyFill="true" applyFont="true" applyBorder="true" applyNumberFormat="true">
      <alignment horizontal="right" vertical="top" indent="1" wrapText="false"/>
    </xf>
    <xf numFmtId="165" fontId="471" fillId="8" borderId="6" xfId="0" applyFill="true" applyFont="true" applyBorder="true" applyNumberFormat="true">
      <alignment horizontal="right" vertical="top" indent="1" wrapText="false"/>
    </xf>
    <xf numFmtId="0" fontId="472" fillId="8" borderId="6" xfId="0" applyFill="true" applyFont="true" applyBorder="true">
      <alignment horizontal="left" vertical="top" indent="1" wrapText="false"/>
    </xf>
    <xf numFmtId="165" fontId="473" fillId="8" borderId="6" xfId="0" applyFill="true" applyFont="true" applyBorder="true" applyNumberFormat="true">
      <alignment horizontal="right" vertical="top" indent="1" wrapText="false"/>
    </xf>
    <xf numFmtId="0" fontId="474" fillId="8" borderId="6" xfId="0" applyFill="true" applyFont="true" applyBorder="true">
      <alignment horizontal="left" vertical="top" indent="1" wrapText="false"/>
    </xf>
    <xf numFmtId="0" fontId="475" fillId="8" borderId="6" xfId="0" applyFill="true" applyFont="true" applyBorder="true">
      <alignment horizontal="left" vertical="top" indent="1" wrapText="false"/>
    </xf>
    <xf numFmtId="0" fontId="476" fillId="8" borderId="6" xfId="0" applyFill="true" applyFont="true" applyBorder="true">
      <alignment horizontal="left" vertical="top" indent="1" wrapText="false"/>
    </xf>
    <xf numFmtId="0" fontId="477" fillId="8" borderId="6" xfId="0" applyFill="true" applyFont="true" applyBorder="true">
      <alignment horizontal="left" vertical="top" indent="1" wrapText="false"/>
    </xf>
    <xf numFmtId="0" fontId="478" fillId="8" borderId="6" xfId="0" applyFill="true" applyFont="true" applyBorder="true">
      <alignment horizontal="left" vertical="top" indent="1" wrapText="false"/>
    </xf>
    <xf numFmtId="0" fontId="479" fillId="8" borderId="6" xfId="0" applyFill="true" applyFont="true" applyBorder="true">
      <alignment horizontal="left" vertical="top" indent="1" wrapText="false"/>
    </xf>
    <xf numFmtId="0" fontId="480" fillId="8" borderId="6" xfId="0" applyFill="true" applyFont="true" applyBorder="true">
      <alignment horizontal="left" vertical="top" indent="1" wrapText="false"/>
    </xf>
    <xf numFmtId="0" fontId="481" fillId="8" borderId="6" xfId="0" applyFill="true" applyFont="true" applyBorder="true">
      <alignment horizontal="left" vertical="top" indent="1" wrapText="false"/>
    </xf>
    <xf numFmtId="0" fontId="482" fillId="8" borderId="6" xfId="0" applyFill="true" applyFont="true" applyBorder="true">
      <alignment horizontal="left" vertical="top" indent="1" wrapText="false"/>
    </xf>
    <xf numFmtId="169" fontId="483" fillId="8" borderId="6" xfId="0" applyFill="true" applyFont="true" applyBorder="true" applyNumberFormat="true">
      <alignment horizontal="right" vertical="top" indent="1" wrapText="false"/>
    </xf>
    <xf numFmtId="170" fontId="484" fillId="8" borderId="6" xfId="0" applyFill="true" applyFont="true" applyBorder="true" applyNumberFormat="true">
      <alignment horizontal="right" vertical="top" indent="1" wrapText="false"/>
    </xf>
    <xf numFmtId="169" fontId="485" fillId="8" borderId="6" xfId="0" applyFill="true" applyFont="true" applyBorder="true" applyNumberFormat="true">
      <alignment horizontal="right" vertical="top" indent="1" wrapText="false"/>
    </xf>
    <xf numFmtId="169" fontId="486" fillId="8" borderId="6" xfId="0" applyFill="true" applyFont="true" applyBorder="true" applyNumberFormat="true">
      <alignment horizontal="right" vertical="top" indent="1" wrapText="false"/>
    </xf>
    <xf numFmtId="169" fontId="487" fillId="8" borderId="6" xfId="0" applyFill="true" applyFont="true" applyBorder="true" applyNumberFormat="true">
      <alignment horizontal="right" vertical="top" indent="1" wrapText="false"/>
    </xf>
    <xf numFmtId="170" fontId="488" fillId="8" borderId="6" xfId="0" applyFill="true" applyFont="true" applyBorder="true" applyNumberFormat="true">
      <alignment horizontal="right" vertical="top" indent="1" wrapText="false"/>
    </xf>
    <xf numFmtId="169" fontId="489" fillId="8" borderId="6" xfId="0" applyFill="true" applyFont="true" applyBorder="true" applyNumberFormat="true">
      <alignment horizontal="right" vertical="top" indent="1" wrapText="false"/>
    </xf>
    <xf numFmtId="170" fontId="490" fillId="8" borderId="6" xfId="0" applyFill="true" applyFont="true" applyBorder="true" applyNumberFormat="true">
      <alignment horizontal="right" vertical="top" indent="1" wrapText="false"/>
    </xf>
    <xf numFmtId="169" fontId="491" fillId="8" borderId="6" xfId="0" applyFill="true" applyFont="true" applyBorder="true" applyNumberFormat="true">
      <alignment horizontal="right" vertical="top" indent="1" wrapText="false"/>
    </xf>
    <xf numFmtId="170" fontId="492" fillId="8" borderId="6" xfId="0" applyFill="true" applyFont="true" applyBorder="true" applyNumberFormat="true">
      <alignment horizontal="right" vertical="top" indent="1" wrapText="false"/>
    </xf>
    <xf numFmtId="169" fontId="493" fillId="8" borderId="6" xfId="0" applyFill="true" applyFont="true" applyBorder="true" applyNumberFormat="true">
      <alignment horizontal="right" vertical="top" indent="1" wrapText="false"/>
    </xf>
    <xf numFmtId="170" fontId="494" fillId="8" borderId="6" xfId="0" applyFill="true" applyFont="true" applyBorder="true" applyNumberFormat="true">
      <alignment horizontal="right" vertical="top" indent="1" wrapText="false"/>
    </xf>
    <xf numFmtId="169" fontId="495" fillId="8" borderId="6" xfId="0" applyFill="true" applyFont="true" applyBorder="true" applyNumberFormat="true">
      <alignment horizontal="right" vertical="top" indent="1" wrapText="false"/>
    </xf>
    <xf numFmtId="170" fontId="496" fillId="8" borderId="6" xfId="0" applyFill="true" applyFont="true" applyBorder="true" applyNumberFormat="true">
      <alignment horizontal="right" vertical="top" indent="1" wrapText="false"/>
    </xf>
    <xf numFmtId="169" fontId="497" fillId="8" borderId="6" xfId="0" applyFill="true" applyFont="true" applyBorder="true" applyNumberFormat="true">
      <alignment horizontal="right" vertical="top" indent="1" wrapText="false"/>
    </xf>
    <xf numFmtId="170" fontId="498" fillId="8" borderId="6" xfId="0" applyFill="true" applyFont="true" applyBorder="true" applyNumberFormat="true">
      <alignment horizontal="right" vertical="top" indent="1" wrapText="false"/>
    </xf>
    <xf numFmtId="171" fontId="499" fillId="8" borderId="6" xfId="0" applyFill="true" applyFont="true" applyBorder="true" applyNumberFormat="true">
      <alignment horizontal="right" vertical="top" indent="1" wrapText="false"/>
    </xf>
    <xf numFmtId="170" fontId="500" fillId="8" borderId="6" xfId="0" applyFill="true" applyFont="true" applyBorder="true" applyNumberFormat="true">
      <alignment horizontal="right" vertical="top" indent="1" wrapText="false"/>
    </xf>
    <xf numFmtId="171" fontId="501" fillId="8" borderId="6" xfId="0" applyFill="true" applyFont="true" applyBorder="true" applyNumberFormat="true">
      <alignment horizontal="right" vertical="top" indent="1" wrapText="false"/>
    </xf>
    <xf numFmtId="169" fontId="502" fillId="8" borderId="6" xfId="0" applyFill="true" applyFont="true" applyBorder="true" applyNumberFormat="true">
      <alignment horizontal="right" vertical="top" indent="1" wrapText="false"/>
    </xf>
    <xf numFmtId="171" fontId="503" fillId="8" borderId="6" xfId="0" applyFill="true" applyFont="true" applyBorder="true" applyNumberFormat="true">
      <alignment horizontal="right" vertical="top" indent="1" wrapText="false"/>
    </xf>
    <xf numFmtId="170" fontId="504" fillId="8" borderId="6" xfId="0" applyFill="true" applyFont="true" applyBorder="true" applyNumberFormat="true">
      <alignment horizontal="right" vertical="top" indent="1" wrapText="false"/>
    </xf>
    <xf numFmtId="171" fontId="505" fillId="8" borderId="6" xfId="0" applyFill="true" applyFont="true" applyBorder="true" applyNumberFormat="true">
      <alignment horizontal="right" vertical="top" indent="1" wrapText="false"/>
    </xf>
    <xf numFmtId="170" fontId="506" fillId="8" borderId="6" xfId="0" applyFill="true" applyFont="true" applyBorder="true" applyNumberFormat="true">
      <alignment horizontal="right" vertical="top" indent="1" wrapText="false"/>
    </xf>
    <xf numFmtId="171" fontId="507" fillId="8" borderId="6" xfId="0" applyFill="true" applyFont="true" applyBorder="true" applyNumberFormat="true">
      <alignment horizontal="right" vertical="top" indent="1" wrapText="false"/>
    </xf>
    <xf numFmtId="170" fontId="508" fillId="8" borderId="6" xfId="0" applyFill="true" applyFont="true" applyBorder="true" applyNumberFormat="true">
      <alignment horizontal="right" vertical="top" indent="1" wrapText="false"/>
    </xf>
    <xf numFmtId="171" fontId="509" fillId="8" borderId="6" xfId="0" applyFill="true" applyFont="true" applyBorder="true" applyNumberFormat="true">
      <alignment horizontal="right" vertical="top" indent="1" wrapText="false"/>
    </xf>
    <xf numFmtId="170" fontId="510" fillId="8" borderId="6" xfId="0" applyFill="true" applyFont="true" applyBorder="true" applyNumberFormat="true">
      <alignment horizontal="right" vertical="top" indent="1" wrapText="false"/>
    </xf>
    <xf numFmtId="171" fontId="511" fillId="8" borderId="6" xfId="0" applyFill="true" applyFont="true" applyBorder="true" applyNumberFormat="true">
      <alignment horizontal="right" vertical="top" indent="1" wrapText="false"/>
    </xf>
    <xf numFmtId="170" fontId="512" fillId="8" borderId="6" xfId="0" applyFill="true" applyFont="true" applyBorder="true" applyNumberFormat="true">
      <alignment horizontal="right" vertical="top" indent="1" wrapText="false"/>
    </xf>
    <xf numFmtId="171" fontId="513" fillId="8" borderId="6" xfId="0" applyFill="true" applyFont="true" applyBorder="true" applyNumberFormat="true">
      <alignment horizontal="right" vertical="top" indent="1" wrapText="false"/>
    </xf>
    <xf numFmtId="170" fontId="514" fillId="8" borderId="6" xfId="0" applyFill="true" applyFont="true" applyBorder="true" applyNumberFormat="true">
      <alignment horizontal="right" vertical="top" indent="1" wrapText="false"/>
    </xf>
    <xf numFmtId="170" fontId="515" fillId="8" borderId="6" xfId="0" applyFill="true" applyFont="true" applyBorder="true" applyNumberFormat="true">
      <alignment horizontal="right" vertical="top" indent="1" wrapText="false"/>
    </xf>
    <xf numFmtId="170" fontId="516" fillId="8" borderId="6" xfId="0" applyFill="true" applyFont="true" applyBorder="true" applyNumberFormat="true">
      <alignment horizontal="right" vertical="top" indent="1" wrapText="false"/>
    </xf>
    <xf numFmtId="169" fontId="517" fillId="8" borderId="6" xfId="0" applyFill="true" applyFont="true" applyBorder="true" applyNumberFormat="true">
      <alignment horizontal="right" vertical="top" indent="1" wrapText="false"/>
    </xf>
    <xf numFmtId="170" fontId="518" fillId="8" borderId="6" xfId="0" applyFill="true" applyFont="true" applyBorder="true" applyNumberFormat="true">
      <alignment horizontal="right" vertical="top" indent="1" wrapText="false"/>
    </xf>
    <xf numFmtId="170" fontId="519" fillId="8" borderId="6" xfId="0" applyFill="true" applyFont="true" applyBorder="true" applyNumberFormat="true">
      <alignment horizontal="right" vertical="top" indent="1" wrapText="false"/>
    </xf>
    <xf numFmtId="169" fontId="520" fillId="8" borderId="6" xfId="0" applyFill="true" applyFont="true" applyBorder="true" applyNumberFormat="true">
      <alignment horizontal="right" vertical="top" indent="1" wrapText="false"/>
    </xf>
    <xf numFmtId="170" fontId="521" fillId="8" borderId="6" xfId="0" applyFill="true" applyFont="true" applyBorder="true" applyNumberFormat="true">
      <alignment horizontal="right" vertical="top" indent="1" wrapText="false"/>
    </xf>
    <xf numFmtId="170" fontId="522" fillId="8" borderId="6" xfId="0" applyFill="true" applyFont="true" applyBorder="true" applyNumberFormat="true">
      <alignment horizontal="right" vertical="top" indent="1" wrapText="false"/>
    </xf>
    <xf numFmtId="169" fontId="523" fillId="8" borderId="6" xfId="0" applyFill="true" applyFont="true" applyBorder="true" applyNumberFormat="true">
      <alignment horizontal="right" vertical="top" indent="1" wrapText="false"/>
    </xf>
    <xf numFmtId="170" fontId="524" fillId="8" borderId="6" xfId="0" applyFill="true" applyFont="true" applyBorder="true" applyNumberFormat="true">
      <alignment horizontal="right" vertical="top" indent="1" wrapText="false"/>
    </xf>
    <xf numFmtId="170" fontId="525" fillId="8" borderId="6" xfId="0" applyFill="true" applyFont="true" applyBorder="true" applyNumberFormat="true">
      <alignment horizontal="right" vertical="top" indent="1" wrapText="false"/>
    </xf>
    <xf numFmtId="169" fontId="526" fillId="8" borderId="6" xfId="0" applyFill="true" applyFont="true" applyBorder="true" applyNumberFormat="true">
      <alignment horizontal="right" vertical="top" indent="1" wrapText="false"/>
    </xf>
    <xf numFmtId="0" fontId="527" fillId="8" borderId="6" xfId="0" applyFill="true" applyFont="true" applyBorder="true">
      <alignment horizontal="right" vertical="top" indent="1" wrapText="false"/>
    </xf>
    <xf numFmtId="0" fontId="528" fillId="8" borderId="6" xfId="0" applyFill="true" applyFont="true" applyBorder="true">
      <alignment horizontal="general" vertical="top" indent="1" wrapText="false"/>
    </xf>
    <xf numFmtId="0" fontId="529" fillId="6" borderId="6" xfId="0" applyFill="true" applyFont="true" applyBorder="true">
      <alignment horizontal="left" vertical="top" indent="1" wrapText="false"/>
    </xf>
    <xf numFmtId="0" fontId="530" fillId="8" borderId="6" xfId="0" applyFill="true" applyFont="true" applyBorder="true">
      <alignment horizontal="left" vertical="top" indent="1" wrapText="false"/>
    </xf>
    <xf numFmtId="0" fontId="531" fillId="6" borderId="6" xfId="0" applyFill="true" applyFont="true" applyBorder="true">
      <alignment horizontal="left" vertical="top" indent="1" wrapText="false"/>
    </xf>
    <xf numFmtId="0" fontId="532" fillId="8" borderId="6" xfId="0" applyFill="true" applyFont="true" applyBorder="true">
      <alignment horizontal="left" vertical="top" indent="1" wrapText="false"/>
    </xf>
    <xf numFmtId="0" fontId="533" fillId="6" borderId="6" xfId="0" applyFill="true" applyFont="true" applyBorder="true">
      <alignment horizontal="left" vertical="top" indent="1" wrapText="false"/>
    </xf>
    <xf numFmtId="0" fontId="534" fillId="8" borderId="6" xfId="0" applyFill="true" applyFont="true" applyBorder="true">
      <alignment horizontal="left" vertical="top" indent="1" wrapText="false"/>
    </xf>
    <xf numFmtId="0" fontId="535" fillId="6" borderId="6" xfId="0" applyFill="true" applyFont="true" applyBorder="true">
      <alignment horizontal="left" vertical="top" indent="1" wrapText="false"/>
    </xf>
    <xf numFmtId="0" fontId="536" fillId="8" borderId="6" xfId="0" applyFill="true" applyFont="true" applyBorder="true">
      <alignment horizontal="left" vertical="top" indent="1" wrapText="false"/>
    </xf>
    <xf numFmtId="0" fontId="537" fillId="6" borderId="6" xfId="0" applyFill="true" applyFont="true" applyBorder="true">
      <alignment horizontal="left" vertical="top" indent="1" wrapText="false"/>
    </xf>
    <xf numFmtId="0" fontId="538" fillId="8" borderId="6" xfId="0" applyFill="true" applyFont="true" applyBorder="true">
      <alignment horizontal="left" vertical="top" indent="1" wrapText="false"/>
    </xf>
    <xf numFmtId="0" fontId="539" fillId="6" borderId="6" xfId="0" applyFill="true" applyFont="true" applyBorder="true">
      <alignment horizontal="left" vertical="top" indent="1" wrapText="false"/>
    </xf>
    <xf numFmtId="0" fontId="540" fillId="8" borderId="6" xfId="0" applyFill="true" applyFont="true" applyBorder="true">
      <alignment horizontal="left" vertical="top" indent="1" wrapText="false"/>
    </xf>
    <xf numFmtId="0" fontId="541" fillId="6" borderId="6" xfId="0" applyFill="true" applyFont="true" applyBorder="true">
      <alignment horizontal="left" vertical="top" indent="1" wrapText="false"/>
    </xf>
    <xf numFmtId="0" fontId="542" fillId="8" borderId="6" xfId="0" applyFill="true" applyFont="true" applyBorder="true">
      <alignment horizontal="left" vertical="top" indent="1" wrapText="false"/>
    </xf>
    <xf numFmtId="0" fontId="543" fillId="6" borderId="6" xfId="0" applyFill="true" applyFont="true" applyBorder="true">
      <alignment horizontal="left" vertical="top" indent="1" wrapText="false"/>
    </xf>
    <xf numFmtId="0" fontId="544" fillId="8" borderId="6" xfId="0" applyFill="true" applyFont="true" applyBorder="true">
      <alignment horizontal="left" vertical="top" indent="1" wrapText="false"/>
    </xf>
    <xf numFmtId="0" fontId="545" fillId="6" borderId="6" xfId="0" applyFill="true" applyFont="true" applyBorder="true">
      <alignment horizontal="left" vertical="top" indent="1" wrapText="false"/>
    </xf>
    <xf numFmtId="0" fontId="546" fillId="8" borderId="6" xfId="0" applyFill="true" applyFont="true" applyBorder="true">
      <alignment horizontal="left" vertical="top" indent="1" wrapText="false"/>
    </xf>
    <xf numFmtId="0" fontId="547" fillId="6" borderId="6" xfId="0" applyFill="true" applyFont="true" applyBorder="true">
      <alignment horizontal="left" vertical="top" indent="1" wrapText="false"/>
    </xf>
    <xf numFmtId="0" fontId="548" fillId="8" borderId="6" xfId="0" applyFill="true" applyFont="true" applyBorder="true">
      <alignment horizontal="left" vertical="top" indent="1" wrapText="false"/>
    </xf>
    <xf numFmtId="0" fontId="549" fillId="6" borderId="6" xfId="0" applyFill="true" applyFont="true" applyBorder="true">
      <alignment horizontal="left" vertical="top" indent="1" wrapText="false"/>
    </xf>
    <xf numFmtId="0" fontId="550" fillId="8" borderId="6" xfId="0" applyFill="true" applyFont="true" applyBorder="true">
      <alignment horizontal="left" vertical="top" indent="1" wrapText="false"/>
    </xf>
    <xf numFmtId="0" fontId="551" fillId="6" borderId="6" xfId="0" applyFill="true" applyFont="true" applyBorder="true">
      <alignment horizontal="left" vertical="top" indent="1" wrapText="false"/>
    </xf>
    <xf numFmtId="0" fontId="552" fillId="8" borderId="6" xfId="0" applyFill="true" applyFont="true" applyBorder="true">
      <alignment horizontal="left" vertical="top" indent="1" wrapText="false"/>
    </xf>
    <xf numFmtId="165" fontId="553" fillId="6" borderId="6" xfId="0" applyFill="true" applyFont="true" applyBorder="true" applyNumberFormat="true">
      <alignment horizontal="left" vertical="top" indent="1" wrapText="false"/>
    </xf>
    <xf numFmtId="165" fontId="554" fillId="8" borderId="6" xfId="0" applyFill="true" applyFont="true" applyBorder="true" applyNumberFormat="true">
      <alignment horizontal="left" vertical="top" indent="1" wrapText="false"/>
    </xf>
    <xf numFmtId="0" fontId="555" fillId="6" borderId="6" xfId="0" applyFill="true" applyFont="true" applyBorder="true">
      <alignment horizontal="left" vertical="top" indent="1" wrapText="false"/>
    </xf>
    <xf numFmtId="0" fontId="556" fillId="8" borderId="6" xfId="0" applyFill="true" applyFont="true" applyBorder="true">
      <alignment horizontal="left" vertical="top" indent="1" wrapText="false"/>
    </xf>
    <xf numFmtId="0" fontId="557" fillId="6" borderId="6" xfId="0" applyFill="true" applyFont="true" applyBorder="true">
      <alignment horizontal="left" vertical="top" indent="1" wrapText="false"/>
    </xf>
    <xf numFmtId="0" fontId="558" fillId="8" borderId="6" xfId="0" applyFill="true" applyFont="true" applyBorder="true">
      <alignment horizontal="left" vertical="top" indent="1" wrapText="false"/>
    </xf>
    <xf numFmtId="0" fontId="559" fillId="6" borderId="6" xfId="0" applyFill="true" applyFont="true" applyBorder="true">
      <alignment horizontal="left" vertical="top" indent="1" wrapText="false"/>
    </xf>
    <xf numFmtId="0" fontId="560" fillId="8" borderId="6" xfId="0" applyFill="true" applyFont="true" applyBorder="true">
      <alignment horizontal="left" vertical="top" indent="1" wrapText="false"/>
    </xf>
    <xf numFmtId="0" fontId="561" fillId="6" borderId="6" xfId="0" applyFill="true" applyFont="true" applyBorder="true">
      <alignment horizontal="left" vertical="top" indent="1" wrapText="false"/>
    </xf>
    <xf numFmtId="0" fontId="562" fillId="8" borderId="6" xfId="0" applyFill="true" applyFont="true" applyBorder="true">
      <alignment horizontal="left" vertical="top" indent="1" wrapText="false"/>
    </xf>
    <xf numFmtId="166" fontId="563" fillId="6" borderId="6" xfId="0" applyFill="true" applyFont="true" applyBorder="true" applyNumberFormat="true">
      <alignment horizontal="left" vertical="top" indent="1" wrapText="false"/>
    </xf>
    <xf numFmtId="166" fontId="564" fillId="8" borderId="6" xfId="0" applyFill="true" applyFont="true" applyBorder="true" applyNumberFormat="true">
      <alignment horizontal="left" vertical="top" indent="1" wrapText="false"/>
    </xf>
    <xf numFmtId="0" fontId="565" fillId="6" borderId="6" xfId="0" applyFill="true" applyFont="true" applyBorder="true">
      <alignment horizontal="left" vertical="top" indent="1" wrapText="false"/>
    </xf>
    <xf numFmtId="0" fontId="566" fillId="8" borderId="6" xfId="0" applyFill="true" applyFont="true" applyBorder="true">
      <alignment horizontal="left" vertical="top" indent="1" wrapText="false"/>
    </xf>
    <xf numFmtId="0" fontId="567" fillId="6" borderId="6" xfId="0" applyFill="true" applyFont="true" applyBorder="true">
      <alignment horizontal="left" vertical="top" indent="1" wrapText="false"/>
    </xf>
    <xf numFmtId="0" fontId="568" fillId="8" borderId="6" xfId="0" applyFill="true" applyFont="true" applyBorder="true">
      <alignment horizontal="left" vertical="top" indent="1" wrapText="false"/>
    </xf>
    <xf numFmtId="167" fontId="569" fillId="6" borderId="6" xfId="0" applyFill="true" applyFont="true" applyBorder="true" applyNumberFormat="true">
      <alignment horizontal="left" vertical="top" indent="1" wrapText="false"/>
    </xf>
    <xf numFmtId="167" fontId="570" fillId="8" borderId="6" xfId="0" applyFill="true" applyFont="true" applyBorder="true" applyNumberFormat="true">
      <alignment horizontal="left" vertical="top" indent="1" wrapText="false"/>
    </xf>
    <xf numFmtId="0" fontId="571" fillId="6" borderId="6" xfId="0" applyFill="true" applyFont="true" applyBorder="true">
      <alignment horizontal="left" vertical="top" indent="1" wrapText="false"/>
    </xf>
    <xf numFmtId="0" fontId="572" fillId="8" borderId="6" xfId="0" applyFill="true" applyFont="true" applyBorder="true">
      <alignment horizontal="left" vertical="top" indent="1" wrapText="false"/>
    </xf>
    <xf numFmtId="0" fontId="573" fillId="6" borderId="6" xfId="0" applyFill="true" applyFont="true" applyBorder="true">
      <alignment horizontal="left" vertical="top" indent="1" wrapText="true"/>
    </xf>
    <xf numFmtId="0" fontId="574" fillId="8" borderId="6" xfId="0" applyFill="true" applyFont="true" applyBorder="true">
      <alignment horizontal="left" vertical="top" indent="1" wrapText="true"/>
    </xf>
    <xf numFmtId="0" fontId="575" fillId="6" borderId="6" xfId="0" applyFill="true" applyFont="true" applyBorder="true">
      <alignment horizontal="left" vertical="top" indent="1" wrapText="true"/>
    </xf>
    <xf numFmtId="0" fontId="576" fillId="8" borderId="6" xfId="0" applyFill="true" applyFont="true" applyBorder="true">
      <alignment horizontal="left" vertical="top" indent="1" wrapText="true"/>
    </xf>
    <xf numFmtId="165" fontId="577" fillId="6" borderId="6" xfId="0" applyFill="true" applyFont="true" applyBorder="true" applyNumberFormat="true">
      <alignment horizontal="left" vertical="top" indent="1" wrapText="false"/>
    </xf>
    <xf numFmtId="165" fontId="578" fillId="8" borderId="6" xfId="0" applyFill="true" applyFont="true" applyBorder="true" applyNumberFormat="true">
      <alignment horizontal="left" vertical="top" indent="1" wrapText="false"/>
    </xf>
    <xf numFmtId="165" fontId="579" fillId="6" borderId="6" xfId="0" applyFill="true" applyFont="true" applyBorder="true" applyNumberFormat="true">
      <alignment horizontal="left" vertical="top" indent="1" wrapText="false"/>
    </xf>
    <xf numFmtId="165" fontId="580" fillId="8" borderId="6" xfId="0" applyFill="true" applyFont="true" applyBorder="true" applyNumberFormat="true">
      <alignment horizontal="left" vertical="top" indent="1" wrapText="false"/>
    </xf>
    <xf numFmtId="165" fontId="581" fillId="6" borderId="6" xfId="0" applyFill="true" applyFont="true" applyBorder="true" applyNumberFormat="true">
      <alignment horizontal="left" vertical="top" indent="1" wrapText="false"/>
    </xf>
    <xf numFmtId="165" fontId="582" fillId="8" borderId="6" xfId="0" applyFill="true" applyFont="true" applyBorder="true" applyNumberFormat="true">
      <alignment horizontal="left" vertical="top" indent="1" wrapText="false"/>
    </xf>
    <xf numFmtId="165" fontId="583" fillId="6" borderId="6" xfId="0" applyFill="true" applyFont="true" applyBorder="true" applyNumberFormat="true">
      <alignment horizontal="left" vertical="top" indent="1" wrapText="false"/>
    </xf>
    <xf numFmtId="165" fontId="584" fillId="8" borderId="6" xfId="0" applyFill="true" applyFont="true" applyBorder="true" applyNumberFormat="true">
      <alignment horizontal="left" vertical="top" indent="1" wrapText="false"/>
    </xf>
    <xf numFmtId="165" fontId="585" fillId="6" borderId="6" xfId="0" applyFill="true" applyFont="true" applyBorder="true" applyNumberFormat="true">
      <alignment horizontal="left" vertical="top" indent="1" wrapText="false"/>
    </xf>
    <xf numFmtId="165" fontId="586" fillId="8" borderId="6" xfId="0" applyFill="true" applyFont="true" applyBorder="true" applyNumberFormat="true">
      <alignment horizontal="left" vertical="top" indent="1" wrapText="false"/>
    </xf>
    <xf numFmtId="0" fontId="587" fillId="6" borderId="6" xfId="0" applyFill="true" applyFont="true" applyBorder="true">
      <alignment horizontal="left" vertical="top" indent="1" wrapText="false"/>
    </xf>
    <xf numFmtId="0" fontId="588" fillId="8" borderId="6" xfId="0" applyFill="true" applyFont="true" applyBorder="true">
      <alignment horizontal="left" vertical="top" indent="1" wrapText="false"/>
    </xf>
    <xf numFmtId="0" fontId="589" fillId="6" borderId="6" xfId="0" applyFill="true" applyFont="true" applyBorder="true">
      <alignment horizontal="left" vertical="top" indent="1" wrapText="false"/>
    </xf>
    <xf numFmtId="0" fontId="590" fillId="8" borderId="6" xfId="0" applyFill="true" applyFont="true" applyBorder="true">
      <alignment horizontal="left" vertical="top" indent="1" wrapText="false"/>
    </xf>
    <xf numFmtId="0" fontId="591" fillId="6" borderId="6" xfId="0" applyFill="true" applyFont="true" applyBorder="true">
      <alignment horizontal="left" vertical="top" indent="1" wrapText="false"/>
    </xf>
    <xf numFmtId="0" fontId="592" fillId="8" borderId="6" xfId="0" applyFill="true" applyFont="true" applyBorder="true">
      <alignment horizontal="left" vertical="top" indent="1" wrapText="false"/>
    </xf>
    <xf numFmtId="0" fontId="593" fillId="6" borderId="6" xfId="0" applyFill="true" applyFont="true" applyBorder="true">
      <alignment horizontal="left" vertical="top" indent="1" wrapText="false"/>
    </xf>
    <xf numFmtId="0" fontId="594" fillId="8" borderId="6" xfId="0" applyFill="true" applyFont="true" applyBorder="true">
      <alignment horizontal="left" vertical="top" indent="1" wrapText="false"/>
    </xf>
    <xf numFmtId="0" fontId="595" fillId="6" borderId="6" xfId="0" applyFill="true" applyFont="true" applyBorder="true">
      <alignment horizontal="left" vertical="top" indent="1" wrapText="false"/>
    </xf>
    <xf numFmtId="0" fontId="596" fillId="8" borderId="6" xfId="0" applyFill="true" applyFont="true" applyBorder="true">
      <alignment horizontal="left" vertical="top" indent="1" wrapText="false"/>
    </xf>
    <xf numFmtId="0" fontId="597" fillId="6" borderId="6" xfId="0" applyFill="true" applyFont="true" applyBorder="true">
      <alignment horizontal="left" vertical="top" indent="1" wrapText="false"/>
    </xf>
    <xf numFmtId="0" fontId="598" fillId="8" borderId="6" xfId="0" applyFill="true" applyFont="true" applyBorder="true">
      <alignment horizontal="left" vertical="top" indent="1" wrapText="false"/>
    </xf>
    <xf numFmtId="0" fontId="599" fillId="6" borderId="6" xfId="0" applyFill="true" applyFont="true" applyBorder="true">
      <alignment horizontal="left" vertical="top" indent="1" wrapText="false"/>
    </xf>
    <xf numFmtId="0" fontId="600" fillId="8" borderId="6" xfId="0" applyFill="true" applyFont="true" applyBorder="true">
      <alignment horizontal="left" vertical="top" indent="1" wrapText="false"/>
    </xf>
    <xf numFmtId="0" fontId="601" fillId="6" borderId="6" xfId="0" applyFill="true" applyFont="true" applyBorder="true">
      <alignment horizontal="left" vertical="top" indent="1" wrapText="false"/>
    </xf>
    <xf numFmtId="0" fontId="602" fillId="8" borderId="6" xfId="0" applyFill="true" applyFont="true" applyBorder="true">
      <alignment horizontal="left" vertical="top" indent="1" wrapText="false"/>
    </xf>
    <xf numFmtId="0" fontId="603" fillId="6" borderId="6" xfId="0" applyFill="true" applyFont="true" applyBorder="true">
      <alignment horizontal="left" vertical="top" indent="1" wrapText="false"/>
    </xf>
    <xf numFmtId="0" fontId="604" fillId="8" borderId="6" xfId="0" applyFill="true" applyFont="true" applyBorder="true">
      <alignment horizontal="left" vertical="top" indent="1" wrapText="false"/>
    </xf>
    <xf numFmtId="0" fontId="605" fillId="6" borderId="6" xfId="0" applyFill="true" applyFont="true" applyBorder="true">
      <alignment horizontal="left" vertical="top" indent="1" wrapText="false"/>
    </xf>
    <xf numFmtId="0" fontId="606" fillId="8" borderId="6" xfId="0" applyFill="true" applyFont="true" applyBorder="true">
      <alignment horizontal="left" vertical="top" indent="1" wrapText="false"/>
    </xf>
    <xf numFmtId="0" fontId="607" fillId="6" borderId="6" xfId="0" applyFill="true" applyFont="true" applyBorder="true">
      <alignment horizontal="left" vertical="top" indent="1" wrapText="false"/>
    </xf>
    <xf numFmtId="0" fontId="608" fillId="8" borderId="6" xfId="0" applyFill="true" applyFont="true" applyBorder="true">
      <alignment horizontal="left" vertical="top" indent="1" wrapText="false"/>
    </xf>
    <xf numFmtId="0" fontId="609" fillId="6" borderId="6" xfId="0" applyFill="true" applyFont="true" applyBorder="true">
      <alignment horizontal="left" vertical="top" indent="1" wrapText="false"/>
    </xf>
    <xf numFmtId="0" fontId="610" fillId="8" borderId="6" xfId="0" applyFill="true" applyFont="true" applyBorder="true">
      <alignment horizontal="left" vertical="top" indent="1" wrapText="false"/>
    </xf>
    <xf numFmtId="0" fontId="611" fillId="6" borderId="6" xfId="0" applyFill="true" applyFont="true" applyBorder="true">
      <alignment horizontal="left" vertical="top" indent="1" wrapText="false"/>
    </xf>
    <xf numFmtId="0" fontId="612" fillId="8" borderId="6" xfId="0" applyFill="true" applyFont="true" applyBorder="true">
      <alignment horizontal="left" vertical="top" indent="1" wrapText="false"/>
    </xf>
    <xf numFmtId="0" fontId="613" fillId="6" borderId="6" xfId="0" applyFill="true" applyFont="true" applyBorder="true">
      <alignment horizontal="left" vertical="top" indent="1" wrapText="false"/>
    </xf>
    <xf numFmtId="0" fontId="614" fillId="8" borderId="6" xfId="0" applyFill="true" applyFont="true" applyBorder="true">
      <alignment horizontal="left" vertical="top" indent="1" wrapText="false"/>
    </xf>
    <xf numFmtId="0" fontId="615" fillId="6" borderId="6" xfId="0" applyFill="true" applyFont="true" applyBorder="true">
      <alignment horizontal="left" vertical="top" indent="1" wrapText="false"/>
    </xf>
    <xf numFmtId="0" fontId="616" fillId="8" borderId="6" xfId="0" applyFill="true" applyFont="true" applyBorder="true">
      <alignment horizontal="left" vertical="top" indent="1" wrapText="false"/>
    </xf>
    <xf numFmtId="0" fontId="617" fillId="6" borderId="6" xfId="0" applyFill="true" applyFont="true" applyBorder="true">
      <alignment horizontal="left" vertical="top" indent="1" wrapText="false"/>
    </xf>
    <xf numFmtId="0" fontId="618" fillId="8" borderId="6" xfId="0" applyFill="true" applyFont="true" applyBorder="true">
      <alignment horizontal="left" vertical="top" indent="1" wrapText="false"/>
    </xf>
    <xf numFmtId="0" fontId="619" fillId="6" borderId="6" xfId="0" applyFill="true" applyFont="true" applyBorder="true">
      <alignment horizontal="left" vertical="top" indent="1" wrapText="false"/>
    </xf>
    <xf numFmtId="0" fontId="620" fillId="8" borderId="6" xfId="0" applyFill="true" applyFont="true" applyBorder="true">
      <alignment horizontal="left" vertical="top" indent="1" wrapText="false"/>
    </xf>
    <xf numFmtId="0" fontId="621" fillId="6" borderId="6" xfId="0" applyFill="true" applyFont="true" applyBorder="true">
      <alignment horizontal="left" vertical="top" indent="1" wrapText="false"/>
    </xf>
    <xf numFmtId="0" fontId="622" fillId="8" borderId="6" xfId="0" applyFill="true" applyFont="true" applyBorder="true">
      <alignment horizontal="left" vertical="top" indent="1" wrapText="false"/>
    </xf>
    <xf numFmtId="0" fontId="623" fillId="6" borderId="6" xfId="0" applyFill="true" applyFont="true" applyBorder="true">
      <alignment horizontal="left" vertical="top" indent="1" wrapText="false"/>
    </xf>
    <xf numFmtId="0" fontId="624" fillId="8" borderId="6" xfId="0" applyFill="true" applyFont="true" applyBorder="true">
      <alignment horizontal="left" vertical="top" indent="1" wrapText="false"/>
    </xf>
    <xf numFmtId="0" fontId="625" fillId="6" borderId="6" xfId="0" applyFill="true" applyFont="true" applyBorder="true">
      <alignment horizontal="left" vertical="top" indent="1" wrapText="false"/>
    </xf>
    <xf numFmtId="0" fontId="626" fillId="8" borderId="6" xfId="0" applyFill="true" applyFont="true" applyBorder="true">
      <alignment horizontal="left" vertical="top" indent="1" wrapText="false"/>
    </xf>
    <xf numFmtId="0" fontId="627" fillId="6" borderId="6" xfId="0" applyFill="true" applyFont="true" applyBorder="true">
      <alignment horizontal="left" vertical="top" indent="1" wrapText="false"/>
    </xf>
    <xf numFmtId="0" fontId="628" fillId="8" borderId="6" xfId="0" applyFill="true" applyFont="true" applyBorder="true">
      <alignment horizontal="left" vertical="top" indent="1" wrapText="false"/>
    </xf>
    <xf numFmtId="0" fontId="629" fillId="6" borderId="6" xfId="0" applyFill="true" applyFont="true" applyBorder="true">
      <alignment horizontal="left" vertical="top" indent="1" wrapText="false"/>
    </xf>
    <xf numFmtId="0" fontId="630" fillId="8" borderId="6" xfId="0" applyFill="true" applyFont="true" applyBorder="true">
      <alignment horizontal="left" vertical="top" indent="1" wrapText="false"/>
    </xf>
    <xf numFmtId="0" fontId="631" fillId="6" borderId="6" xfId="0" applyFill="true" applyFont="true" applyBorder="true">
      <alignment horizontal="left" vertical="top" indent="1" wrapText="false"/>
    </xf>
    <xf numFmtId="0" fontId="632" fillId="8" borderId="6" xfId="0" applyFill="true" applyFont="true" applyBorder="true">
      <alignment horizontal="left" vertical="top" indent="1" wrapText="false"/>
    </xf>
    <xf numFmtId="0" fontId="633" fillId="6" borderId="6" xfId="0" applyFill="true" applyFont="true" applyBorder="true">
      <alignment horizontal="left" vertical="top" indent="1" wrapText="false"/>
    </xf>
    <xf numFmtId="0" fontId="634" fillId="8" borderId="6" xfId="0" applyFill="true" applyFont="true" applyBorder="true">
      <alignment horizontal="left" vertical="top" indent="1" wrapText="false"/>
    </xf>
    <xf numFmtId="0" fontId="635" fillId="6" borderId="6" xfId="0" applyFill="true" applyFont="true" applyBorder="true">
      <alignment horizontal="left" vertical="top" indent="1" wrapText="false"/>
    </xf>
    <xf numFmtId="0" fontId="636" fillId="8" borderId="6" xfId="0" applyFill="true" applyFont="true" applyBorder="true">
      <alignment horizontal="left" vertical="top" indent="1" wrapText="false"/>
    </xf>
    <xf numFmtId="0" fontId="637" fillId="6" borderId="6" xfId="0" applyFill="true" applyFont="true" applyBorder="true">
      <alignment horizontal="left" vertical="top" indent="1" wrapText="false"/>
    </xf>
    <xf numFmtId="0" fontId="638" fillId="8" borderId="6" xfId="0" applyFill="true" applyFont="true" applyBorder="true">
      <alignment horizontal="left" vertical="top" indent="1" wrapText="false"/>
    </xf>
    <xf numFmtId="0" fontId="639" fillId="6" borderId="6" xfId="0" applyFill="true" applyFont="true" applyBorder="true">
      <alignment horizontal="left" vertical="top" indent="1" wrapText="false"/>
    </xf>
    <xf numFmtId="0" fontId="640" fillId="8" borderId="6" xfId="0" applyFill="true" applyFont="true" applyBorder="true">
      <alignment horizontal="left" vertical="top" indent="1" wrapText="false"/>
    </xf>
    <xf numFmtId="0" fontId="641" fillId="6" borderId="6" xfId="0" applyFill="true" applyFont="true" applyBorder="true">
      <alignment horizontal="left" vertical="top" indent="1" wrapText="false"/>
    </xf>
    <xf numFmtId="0" fontId="642" fillId="8" borderId="6" xfId="0" applyFill="true" applyFont="true" applyBorder="true">
      <alignment horizontal="left" vertical="top" indent="1" wrapText="false"/>
    </xf>
    <xf numFmtId="0" fontId="643" fillId="6" borderId="6" xfId="0" applyFill="true" applyFont="true" applyBorder="true">
      <alignment horizontal="left" vertical="top" indent="1" wrapText="false"/>
    </xf>
    <xf numFmtId="0" fontId="644" fillId="8" borderId="6" xfId="0" applyFill="true" applyFont="true" applyBorder="true">
      <alignment horizontal="left" vertical="top" indent="1" wrapText="false"/>
    </xf>
    <xf numFmtId="168" fontId="645" fillId="6" borderId="6" xfId="0" applyFill="true" applyFont="true" applyBorder="true" applyNumberFormat="true">
      <alignment horizontal="left" vertical="top" indent="1" wrapText="false"/>
    </xf>
    <xf numFmtId="168" fontId="646" fillId="8" borderId="6" xfId="0" applyFill="true" applyFont="true" applyBorder="true" applyNumberFormat="true">
      <alignment horizontal="left" vertical="top" indent="1" wrapText="false"/>
    </xf>
    <xf numFmtId="165" fontId="647" fillId="6" borderId="6" xfId="0" applyFill="true" applyFont="true" applyBorder="true" applyNumberFormat="true">
      <alignment horizontal="left" vertical="top" indent="1" wrapText="false"/>
    </xf>
    <xf numFmtId="165" fontId="648" fillId="8" borderId="6" xfId="0" applyFill="true" applyFont="true" applyBorder="true" applyNumberFormat="true">
      <alignment horizontal="left" vertical="top" indent="1" wrapText="false"/>
    </xf>
    <xf numFmtId="0" fontId="649" fillId="6" borderId="6" xfId="0" applyFill="true" applyFont="true" applyBorder="true">
      <alignment horizontal="left" vertical="top" indent="1" wrapText="false"/>
    </xf>
    <xf numFmtId="0" fontId="650" fillId="8" borderId="6" xfId="0" applyFill="true" applyFont="true" applyBorder="true">
      <alignment horizontal="left" vertical="top" indent="1" wrapText="false"/>
    </xf>
    <xf numFmtId="165" fontId="651" fillId="6" borderId="6" xfId="0" applyFill="true" applyFont="true" applyBorder="true" applyNumberFormat="true">
      <alignment horizontal="left" vertical="top" indent="1" wrapText="false"/>
    </xf>
    <xf numFmtId="165" fontId="652" fillId="8" borderId="6" xfId="0" applyFill="true" applyFont="true" applyBorder="true" applyNumberFormat="true">
      <alignment horizontal="left" vertical="top" indent="1" wrapText="false"/>
    </xf>
    <xf numFmtId="0" fontId="653" fillId="6" borderId="6" xfId="0" applyFill="true" applyFont="true" applyBorder="true">
      <alignment horizontal="left" vertical="top" indent="1" wrapText="false"/>
    </xf>
    <xf numFmtId="0" fontId="654" fillId="8" borderId="6" xfId="0" applyFill="true" applyFont="true" applyBorder="true">
      <alignment horizontal="left" vertical="top" indent="1" wrapText="false"/>
    </xf>
    <xf numFmtId="0" fontId="655" fillId="6" borderId="6" xfId="0" applyFill="true" applyFont="true" applyBorder="true">
      <alignment horizontal="left" vertical="top" indent="1" wrapText="false"/>
    </xf>
    <xf numFmtId="0" fontId="656" fillId="8" borderId="6" xfId="0" applyFill="true" applyFont="true" applyBorder="true">
      <alignment horizontal="left" vertical="top" indent="1" wrapText="false"/>
    </xf>
    <xf numFmtId="0" fontId="657" fillId="6" borderId="6" xfId="0" applyFill="true" applyFont="true" applyBorder="true">
      <alignment horizontal="left" vertical="top" indent="1" wrapText="false"/>
    </xf>
    <xf numFmtId="0" fontId="658" fillId="8" borderId="6" xfId="0" applyFill="true" applyFont="true" applyBorder="true">
      <alignment horizontal="left" vertical="top" indent="1" wrapText="false"/>
    </xf>
    <xf numFmtId="0" fontId="659" fillId="6" borderId="6" xfId="0" applyFill="true" applyFont="true" applyBorder="true">
      <alignment horizontal="left" vertical="top" indent="1" wrapText="false"/>
    </xf>
    <xf numFmtId="0" fontId="660" fillId="8" borderId="6" xfId="0" applyFill="true" applyFont="true" applyBorder="true">
      <alignment horizontal="left" vertical="top" indent="1" wrapText="false"/>
    </xf>
    <xf numFmtId="0" fontId="661" fillId="6" borderId="6" xfId="0" applyFill="true" applyFont="true" applyBorder="true">
      <alignment horizontal="left" vertical="top" indent="1" wrapText="false"/>
    </xf>
    <xf numFmtId="0" fontId="662" fillId="8" borderId="6" xfId="0" applyFill="true" applyFont="true" applyBorder="true">
      <alignment horizontal="left" vertical="top" indent="1" wrapText="false"/>
    </xf>
    <xf numFmtId="0" fontId="663" fillId="6" borderId="6" xfId="0" applyFill="true" applyFont="true" applyBorder="true">
      <alignment horizontal="left" vertical="top" indent="1" wrapText="false"/>
    </xf>
    <xf numFmtId="0" fontId="664" fillId="8" borderId="6" xfId="0" applyFill="true" applyFont="true" applyBorder="true">
      <alignment horizontal="left" vertical="top" indent="1" wrapText="false"/>
    </xf>
    <xf numFmtId="0" fontId="665" fillId="6" borderId="6" xfId="0" applyFill="true" applyFont="true" applyBorder="true">
      <alignment horizontal="left" vertical="top" indent="1" wrapText="false"/>
    </xf>
    <xf numFmtId="0" fontId="666" fillId="8" borderId="6" xfId="0" applyFill="true" applyFont="true" applyBorder="true">
      <alignment horizontal="left" vertical="top" indent="1" wrapText="false"/>
    </xf>
    <xf numFmtId="0" fontId="667" fillId="6" borderId="6" xfId="0" applyFill="true" applyFont="true" applyBorder="true">
      <alignment horizontal="left" vertical="top" indent="1" wrapText="false"/>
    </xf>
    <xf numFmtId="0" fontId="668" fillId="8" borderId="6" xfId="0" applyFill="true" applyFont="true" applyBorder="true">
      <alignment horizontal="left" vertical="top" indent="1" wrapText="false"/>
    </xf>
    <xf numFmtId="0" fontId="669" fillId="6" borderId="6" xfId="0" applyFill="true" applyFont="true" applyBorder="true">
      <alignment horizontal="left" vertical="top" indent="1" wrapText="false"/>
    </xf>
    <xf numFmtId="0" fontId="670" fillId="8" borderId="6" xfId="0" applyFill="true" applyFont="true" applyBorder="true">
      <alignment horizontal="left" vertical="top" indent="1" wrapText="false"/>
    </xf>
    <xf numFmtId="168" fontId="671" fillId="6" borderId="6" xfId="0" applyFill="true" applyFont="true" applyBorder="true" applyNumberFormat="true">
      <alignment horizontal="left" vertical="top" indent="1" wrapText="false"/>
    </xf>
    <xf numFmtId="168" fontId="672" fillId="8" borderId="6" xfId="0" applyFill="true" applyFont="true" applyBorder="true" applyNumberFormat="true">
      <alignment horizontal="left" vertical="top" indent="1" wrapText="false"/>
    </xf>
    <xf numFmtId="165" fontId="673" fillId="6" borderId="6" xfId="0" applyFill="true" applyFont="true" applyBorder="true" applyNumberFormat="true">
      <alignment horizontal="left" vertical="top" indent="1" wrapText="false"/>
    </xf>
    <xf numFmtId="165" fontId="674" fillId="8" borderId="6" xfId="0" applyFill="true" applyFont="true" applyBorder="true" applyNumberFormat="true">
      <alignment horizontal="left" vertical="top" indent="1" wrapText="false"/>
    </xf>
    <xf numFmtId="0" fontId="675" fillId="6" borderId="6" xfId="0" applyFill="true" applyFont="true" applyBorder="true">
      <alignment horizontal="left" vertical="top" indent="1" wrapText="false"/>
    </xf>
    <xf numFmtId="0" fontId="676" fillId="8" borderId="6" xfId="0" applyFill="true" applyFont="true" applyBorder="true">
      <alignment horizontal="left" vertical="top" indent="1" wrapText="false"/>
    </xf>
    <xf numFmtId="165" fontId="677" fillId="6" borderId="6" xfId="0" applyFill="true" applyFont="true" applyBorder="true" applyNumberFormat="true">
      <alignment horizontal="left" vertical="top" indent="1" wrapText="false"/>
    </xf>
    <xf numFmtId="165" fontId="678" fillId="8" borderId="6" xfId="0" applyFill="true" applyFont="true" applyBorder="true" applyNumberFormat="true">
      <alignment horizontal="left" vertical="top" indent="1" wrapText="false"/>
    </xf>
    <xf numFmtId="0" fontId="679" fillId="6" borderId="6" xfId="0" applyFill="true" applyFont="true" applyBorder="true">
      <alignment horizontal="left" vertical="top" indent="1" wrapText="false"/>
    </xf>
    <xf numFmtId="0" fontId="680" fillId="8" borderId="6" xfId="0" applyFill="true" applyFont="true" applyBorder="true">
      <alignment horizontal="left" vertical="top" indent="1" wrapText="false"/>
    </xf>
    <xf numFmtId="0" fontId="681" fillId="6" borderId="6" xfId="0" applyFill="true" applyFont="true" applyBorder="true">
      <alignment horizontal="left" vertical="top" indent="1" wrapText="false"/>
    </xf>
    <xf numFmtId="0" fontId="682" fillId="8" borderId="6" xfId="0" applyFill="true" applyFont="true" applyBorder="true">
      <alignment horizontal="left" vertical="top" indent="1" wrapText="false"/>
    </xf>
    <xf numFmtId="0" fontId="683" fillId="6" borderId="6" xfId="0" applyFill="true" applyFont="true" applyBorder="true">
      <alignment horizontal="left" vertical="top" indent="1" wrapText="false"/>
    </xf>
    <xf numFmtId="0" fontId="684" fillId="8" borderId="6" xfId="0" applyFill="true" applyFont="true" applyBorder="true">
      <alignment horizontal="left" vertical="top" indent="1" wrapText="false"/>
    </xf>
    <xf numFmtId="0" fontId="685" fillId="6" borderId="6" xfId="0" applyFill="true" applyFont="true" applyBorder="true">
      <alignment horizontal="left" vertical="top" indent="1" wrapText="false"/>
    </xf>
    <xf numFmtId="0" fontId="686" fillId="8" borderId="6" xfId="0" applyFill="true" applyFont="true" applyBorder="true">
      <alignment horizontal="left" vertical="top" indent="1" wrapText="false"/>
    </xf>
    <xf numFmtId="0" fontId="687" fillId="6" borderId="6" xfId="0" applyFill="true" applyFont="true" applyBorder="true">
      <alignment horizontal="left" vertical="top" indent="1" wrapText="false"/>
    </xf>
    <xf numFmtId="0" fontId="688" fillId="8" borderId="6" xfId="0" applyFill="true" applyFont="true" applyBorder="true">
      <alignment horizontal="left" vertical="top" indent="1" wrapText="false"/>
    </xf>
    <xf numFmtId="0" fontId="689" fillId="6" borderId="6" xfId="0" applyFill="true" applyFont="true" applyBorder="true">
      <alignment horizontal="left" vertical="top" indent="1" wrapText="false"/>
    </xf>
    <xf numFmtId="0" fontId="690" fillId="8" borderId="6" xfId="0" applyFill="true" applyFont="true" applyBorder="true">
      <alignment horizontal="left" vertical="top" indent="1" wrapText="false"/>
    </xf>
    <xf numFmtId="0" fontId="691" fillId="6" borderId="6" xfId="0" applyFill="true" applyFont="true" applyBorder="true">
      <alignment horizontal="left" vertical="top" indent="1" wrapText="false"/>
    </xf>
    <xf numFmtId="0" fontId="692" fillId="8" borderId="6" xfId="0" applyFill="true" applyFont="true" applyBorder="true">
      <alignment horizontal="left" vertical="top" indent="1" wrapText="false"/>
    </xf>
    <xf numFmtId="0" fontId="693" fillId="6" borderId="6" xfId="0" applyFill="true" applyFont="true" applyBorder="true">
      <alignment horizontal="left" vertical="top" indent="1" wrapText="false"/>
    </xf>
    <xf numFmtId="0" fontId="694" fillId="8" borderId="6" xfId="0" applyFill="true" applyFont="true" applyBorder="true">
      <alignment horizontal="left" vertical="top" indent="1" wrapText="false"/>
    </xf>
    <xf numFmtId="0" fontId="695" fillId="6" borderId="6" xfId="0" applyFill="true" applyFont="true" applyBorder="true">
      <alignment horizontal="left" vertical="top" indent="1" wrapText="false"/>
    </xf>
    <xf numFmtId="0" fontId="696" fillId="8" borderId="6" xfId="0" applyFill="true" applyFont="true" applyBorder="true">
      <alignment horizontal="left" vertical="top" indent="1" wrapText="false"/>
    </xf>
    <xf numFmtId="169" fontId="697" fillId="6" borderId="6" xfId="0" applyFill="true" applyFont="true" applyBorder="true" applyNumberFormat="true">
      <alignment horizontal="left" vertical="top" indent="1" wrapText="false"/>
    </xf>
    <xf numFmtId="169" fontId="698" fillId="8" borderId="6" xfId="0" applyFill="true" applyFont="true" applyBorder="true" applyNumberFormat="true">
      <alignment horizontal="left" vertical="top" indent="1" wrapText="false"/>
    </xf>
    <xf numFmtId="170" fontId="699" fillId="6" borderId="6" xfId="0" applyFill="true" applyFont="true" applyBorder="true" applyNumberFormat="true">
      <alignment horizontal="left" vertical="top" indent="1" wrapText="false"/>
    </xf>
    <xf numFmtId="170" fontId="700" fillId="8" borderId="6" xfId="0" applyFill="true" applyFont="true" applyBorder="true" applyNumberFormat="true">
      <alignment horizontal="left" vertical="top" indent="1" wrapText="false"/>
    </xf>
    <xf numFmtId="169" fontId="701" fillId="6" borderId="6" xfId="0" applyFill="true" applyFont="true" applyBorder="true" applyNumberFormat="true">
      <alignment horizontal="left" vertical="top" indent="1" wrapText="false"/>
    </xf>
    <xf numFmtId="169" fontId="702" fillId="8" borderId="6" xfId="0" applyFill="true" applyFont="true" applyBorder="true" applyNumberFormat="true">
      <alignment horizontal="left" vertical="top" indent="1" wrapText="false"/>
    </xf>
    <xf numFmtId="169" fontId="703" fillId="6" borderId="6" xfId="0" applyFill="true" applyFont="true" applyBorder="true" applyNumberFormat="true">
      <alignment horizontal="left" vertical="top" indent="1" wrapText="false"/>
    </xf>
    <xf numFmtId="169" fontId="704" fillId="8" borderId="6" xfId="0" applyFill="true" applyFont="true" applyBorder="true" applyNumberFormat="true">
      <alignment horizontal="left" vertical="top" indent="1" wrapText="false"/>
    </xf>
    <xf numFmtId="169" fontId="705" fillId="6" borderId="6" xfId="0" applyFill="true" applyFont="true" applyBorder="true" applyNumberFormat="true">
      <alignment horizontal="left" vertical="top" indent="1" wrapText="false"/>
    </xf>
    <xf numFmtId="169" fontId="706" fillId="8" borderId="6" xfId="0" applyFill="true" applyFont="true" applyBorder="true" applyNumberFormat="true">
      <alignment horizontal="left" vertical="top" indent="1" wrapText="false"/>
    </xf>
    <xf numFmtId="170" fontId="707" fillId="6" borderId="6" xfId="0" applyFill="true" applyFont="true" applyBorder="true" applyNumberFormat="true">
      <alignment horizontal="left" vertical="top" indent="1" wrapText="false"/>
    </xf>
    <xf numFmtId="170" fontId="708" fillId="8" borderId="6" xfId="0" applyFill="true" applyFont="true" applyBorder="true" applyNumberFormat="true">
      <alignment horizontal="left" vertical="top" indent="1" wrapText="false"/>
    </xf>
    <xf numFmtId="169" fontId="709" fillId="6" borderId="6" xfId="0" applyFill="true" applyFont="true" applyBorder="true" applyNumberFormat="true">
      <alignment horizontal="left" vertical="top" indent="1" wrapText="false"/>
    </xf>
    <xf numFmtId="169" fontId="710" fillId="8" borderId="6" xfId="0" applyFill="true" applyFont="true" applyBorder="true" applyNumberFormat="true">
      <alignment horizontal="left" vertical="top" indent="1" wrapText="false"/>
    </xf>
    <xf numFmtId="170" fontId="711" fillId="6" borderId="6" xfId="0" applyFill="true" applyFont="true" applyBorder="true" applyNumberFormat="true">
      <alignment horizontal="left" vertical="top" indent="1" wrapText="false"/>
    </xf>
    <xf numFmtId="170" fontId="712" fillId="8" borderId="6" xfId="0" applyFill="true" applyFont="true" applyBorder="true" applyNumberFormat="true">
      <alignment horizontal="left" vertical="top" indent="1" wrapText="false"/>
    </xf>
    <xf numFmtId="169" fontId="713" fillId="6" borderId="6" xfId="0" applyFill="true" applyFont="true" applyBorder="true" applyNumberFormat="true">
      <alignment horizontal="left" vertical="top" indent="1" wrapText="false"/>
    </xf>
    <xf numFmtId="169" fontId="714" fillId="8" borderId="6" xfId="0" applyFill="true" applyFont="true" applyBorder="true" applyNumberFormat="true">
      <alignment horizontal="left" vertical="top" indent="1" wrapText="false"/>
    </xf>
    <xf numFmtId="170" fontId="715" fillId="6" borderId="6" xfId="0" applyFill="true" applyFont="true" applyBorder="true" applyNumberFormat="true">
      <alignment horizontal="left" vertical="top" indent="1" wrapText="false"/>
    </xf>
    <xf numFmtId="170" fontId="716" fillId="8" borderId="6" xfId="0" applyFill="true" applyFont="true" applyBorder="true" applyNumberFormat="true">
      <alignment horizontal="left" vertical="top" indent="1" wrapText="false"/>
    </xf>
    <xf numFmtId="169" fontId="717" fillId="6" borderId="6" xfId="0" applyFill="true" applyFont="true" applyBorder="true" applyNumberFormat="true">
      <alignment horizontal="left" vertical="top" indent="1" wrapText="false"/>
    </xf>
    <xf numFmtId="169" fontId="718" fillId="8" borderId="6" xfId="0" applyFill="true" applyFont="true" applyBorder="true" applyNumberFormat="true">
      <alignment horizontal="left" vertical="top" indent="1" wrapText="false"/>
    </xf>
    <xf numFmtId="170" fontId="719" fillId="6" borderId="6" xfId="0" applyFill="true" applyFont="true" applyBorder="true" applyNumberFormat="true">
      <alignment horizontal="left" vertical="top" indent="1" wrapText="false"/>
    </xf>
    <xf numFmtId="170" fontId="720" fillId="8" borderId="6" xfId="0" applyFill="true" applyFont="true" applyBorder="true" applyNumberFormat="true">
      <alignment horizontal="left" vertical="top" indent="1" wrapText="false"/>
    </xf>
    <xf numFmtId="169" fontId="721" fillId="6" borderId="6" xfId="0" applyFill="true" applyFont="true" applyBorder="true" applyNumberFormat="true">
      <alignment horizontal="left" vertical="top" indent="1" wrapText="false"/>
    </xf>
    <xf numFmtId="169" fontId="722" fillId="8" borderId="6" xfId="0" applyFill="true" applyFont="true" applyBorder="true" applyNumberFormat="true">
      <alignment horizontal="left" vertical="top" indent="1" wrapText="false"/>
    </xf>
    <xf numFmtId="170" fontId="723" fillId="6" borderId="6" xfId="0" applyFill="true" applyFont="true" applyBorder="true" applyNumberFormat="true">
      <alignment horizontal="left" vertical="top" indent="1" wrapText="false"/>
    </xf>
    <xf numFmtId="170" fontId="724" fillId="8" borderId="6" xfId="0" applyFill="true" applyFont="true" applyBorder="true" applyNumberFormat="true">
      <alignment horizontal="left" vertical="top" indent="1" wrapText="false"/>
    </xf>
    <xf numFmtId="169" fontId="725" fillId="6" borderId="6" xfId="0" applyFill="true" applyFont="true" applyBorder="true" applyNumberFormat="true">
      <alignment horizontal="left" vertical="top" indent="1" wrapText="false"/>
    </xf>
    <xf numFmtId="169" fontId="726" fillId="8" borderId="6" xfId="0" applyFill="true" applyFont="true" applyBorder="true" applyNumberFormat="true">
      <alignment horizontal="left" vertical="top" indent="1" wrapText="false"/>
    </xf>
    <xf numFmtId="170" fontId="727" fillId="6" borderId="6" xfId="0" applyFill="true" applyFont="true" applyBorder="true" applyNumberFormat="true">
      <alignment horizontal="left" vertical="top" indent="1" wrapText="false"/>
    </xf>
    <xf numFmtId="170" fontId="728" fillId="8" borderId="6" xfId="0" applyFill="true" applyFont="true" applyBorder="true" applyNumberFormat="true">
      <alignment horizontal="left" vertical="top" indent="1" wrapText="false"/>
    </xf>
    <xf numFmtId="171" fontId="729" fillId="6" borderId="6" xfId="0" applyFill="true" applyFont="true" applyBorder="true" applyNumberFormat="true">
      <alignment horizontal="left" vertical="top" indent="1" wrapText="false"/>
    </xf>
    <xf numFmtId="171" fontId="730" fillId="8" borderId="6" xfId="0" applyFill="true" applyFont="true" applyBorder="true" applyNumberFormat="true">
      <alignment horizontal="left" vertical="top" indent="1" wrapText="false"/>
    </xf>
    <xf numFmtId="170" fontId="731" fillId="6" borderId="6" xfId="0" applyFill="true" applyFont="true" applyBorder="true" applyNumberFormat="true">
      <alignment horizontal="left" vertical="top" indent="1" wrapText="false"/>
    </xf>
    <xf numFmtId="170" fontId="732" fillId="8" borderId="6" xfId="0" applyFill="true" applyFont="true" applyBorder="true" applyNumberFormat="true">
      <alignment horizontal="left" vertical="top" indent="1" wrapText="false"/>
    </xf>
    <xf numFmtId="171" fontId="733" fillId="6" borderId="6" xfId="0" applyFill="true" applyFont="true" applyBorder="true" applyNumberFormat="true">
      <alignment horizontal="left" vertical="top" indent="1" wrapText="false"/>
    </xf>
    <xf numFmtId="171" fontId="734" fillId="8" borderId="6" xfId="0" applyFill="true" applyFont="true" applyBorder="true" applyNumberFormat="true">
      <alignment horizontal="left" vertical="top" indent="1" wrapText="false"/>
    </xf>
    <xf numFmtId="169" fontId="735" fillId="6" borderId="6" xfId="0" applyFill="true" applyFont="true" applyBorder="true" applyNumberFormat="true">
      <alignment horizontal="left" vertical="top" indent="1" wrapText="false"/>
    </xf>
    <xf numFmtId="169" fontId="736" fillId="8" borderId="6" xfId="0" applyFill="true" applyFont="true" applyBorder="true" applyNumberFormat="true">
      <alignment horizontal="left" vertical="top" indent="1" wrapText="false"/>
    </xf>
    <xf numFmtId="171" fontId="737" fillId="6" borderId="6" xfId="0" applyFill="true" applyFont="true" applyBorder="true" applyNumberFormat="true">
      <alignment horizontal="left" vertical="top" indent="1" wrapText="false"/>
    </xf>
    <xf numFmtId="171" fontId="738" fillId="8" borderId="6" xfId="0" applyFill="true" applyFont="true" applyBorder="true" applyNumberFormat="true">
      <alignment horizontal="left" vertical="top" indent="1" wrapText="false"/>
    </xf>
    <xf numFmtId="170" fontId="739" fillId="6" borderId="6" xfId="0" applyFill="true" applyFont="true" applyBorder="true" applyNumberFormat="true">
      <alignment horizontal="left" vertical="top" indent="1" wrapText="false"/>
    </xf>
    <xf numFmtId="170" fontId="740" fillId="8" borderId="6" xfId="0" applyFill="true" applyFont="true" applyBorder="true" applyNumberFormat="true">
      <alignment horizontal="left" vertical="top" indent="1" wrapText="false"/>
    </xf>
    <xf numFmtId="171" fontId="741" fillId="6" borderId="6" xfId="0" applyFill="true" applyFont="true" applyBorder="true" applyNumberFormat="true">
      <alignment horizontal="left" vertical="top" indent="1" wrapText="false"/>
    </xf>
    <xf numFmtId="171" fontId="742" fillId="8" borderId="6" xfId="0" applyFill="true" applyFont="true" applyBorder="true" applyNumberFormat="true">
      <alignment horizontal="left" vertical="top" indent="1" wrapText="false"/>
    </xf>
    <xf numFmtId="170" fontId="743" fillId="6" borderId="6" xfId="0" applyFill="true" applyFont="true" applyBorder="true" applyNumberFormat="true">
      <alignment horizontal="left" vertical="top" indent="1" wrapText="false"/>
    </xf>
    <xf numFmtId="170" fontId="744" fillId="8" borderId="6" xfId="0" applyFill="true" applyFont="true" applyBorder="true" applyNumberFormat="true">
      <alignment horizontal="left" vertical="top" indent="1" wrapText="false"/>
    </xf>
    <xf numFmtId="171" fontId="745" fillId="6" borderId="6" xfId="0" applyFill="true" applyFont="true" applyBorder="true" applyNumberFormat="true">
      <alignment horizontal="left" vertical="top" indent="1" wrapText="false"/>
    </xf>
    <xf numFmtId="171" fontId="746" fillId="8" borderId="6" xfId="0" applyFill="true" applyFont="true" applyBorder="true" applyNumberFormat="true">
      <alignment horizontal="left" vertical="top" indent="1" wrapText="false"/>
    </xf>
    <xf numFmtId="170" fontId="747" fillId="6" borderId="6" xfId="0" applyFill="true" applyFont="true" applyBorder="true" applyNumberFormat="true">
      <alignment horizontal="left" vertical="top" indent="1" wrapText="false"/>
    </xf>
    <xf numFmtId="170" fontId="748" fillId="8" borderId="6" xfId="0" applyFill="true" applyFont="true" applyBorder="true" applyNumberFormat="true">
      <alignment horizontal="left" vertical="top" indent="1" wrapText="false"/>
    </xf>
    <xf numFmtId="171" fontId="749" fillId="6" borderId="6" xfId="0" applyFill="true" applyFont="true" applyBorder="true" applyNumberFormat="true">
      <alignment horizontal="left" vertical="top" indent="1" wrapText="false"/>
    </xf>
    <xf numFmtId="171" fontId="750" fillId="8" borderId="6" xfId="0" applyFill="true" applyFont="true" applyBorder="true" applyNumberFormat="true">
      <alignment horizontal="left" vertical="top" indent="1" wrapText="false"/>
    </xf>
    <xf numFmtId="170" fontId="751" fillId="6" borderId="6" xfId="0" applyFill="true" applyFont="true" applyBorder="true" applyNumberFormat="true">
      <alignment horizontal="left" vertical="top" indent="1" wrapText="false"/>
    </xf>
    <xf numFmtId="170" fontId="752" fillId="8" borderId="6" xfId="0" applyFill="true" applyFont="true" applyBorder="true" applyNumberFormat="true">
      <alignment horizontal="left" vertical="top" indent="1" wrapText="false"/>
    </xf>
    <xf numFmtId="171" fontId="753" fillId="6" borderId="6" xfId="0" applyFill="true" applyFont="true" applyBorder="true" applyNumberFormat="true">
      <alignment horizontal="left" vertical="top" indent="1" wrapText="false"/>
    </xf>
    <xf numFmtId="171" fontId="754" fillId="8" borderId="6" xfId="0" applyFill="true" applyFont="true" applyBorder="true" applyNumberFormat="true">
      <alignment horizontal="left" vertical="top" indent="1" wrapText="false"/>
    </xf>
    <xf numFmtId="170" fontId="755" fillId="6" borderId="6" xfId="0" applyFill="true" applyFont="true" applyBorder="true" applyNumberFormat="true">
      <alignment horizontal="left" vertical="top" indent="1" wrapText="false"/>
    </xf>
    <xf numFmtId="170" fontId="756" fillId="8" borderId="6" xfId="0" applyFill="true" applyFont="true" applyBorder="true" applyNumberFormat="true">
      <alignment horizontal="left" vertical="top" indent="1" wrapText="false"/>
    </xf>
    <xf numFmtId="171" fontId="757" fillId="6" borderId="6" xfId="0" applyFill="true" applyFont="true" applyBorder="true" applyNumberFormat="true">
      <alignment horizontal="left" vertical="top" indent="1" wrapText="false"/>
    </xf>
    <xf numFmtId="171" fontId="758" fillId="8" borderId="6" xfId="0" applyFill="true" applyFont="true" applyBorder="true" applyNumberFormat="true">
      <alignment horizontal="left" vertical="top" indent="1" wrapText="false"/>
    </xf>
    <xf numFmtId="170" fontId="759" fillId="6" borderId="6" xfId="0" applyFill="true" applyFont="true" applyBorder="true" applyNumberFormat="true">
      <alignment horizontal="left" vertical="top" indent="1" wrapText="false"/>
    </xf>
    <xf numFmtId="170" fontId="760" fillId="8" borderId="6" xfId="0" applyFill="true" applyFont="true" applyBorder="true" applyNumberFormat="true">
      <alignment horizontal="left" vertical="top" indent="1" wrapText="false"/>
    </xf>
    <xf numFmtId="170" fontId="761" fillId="6" borderId="6" xfId="0" applyFill="true" applyFont="true" applyBorder="true" applyNumberFormat="true">
      <alignment horizontal="left" vertical="top" indent="1" wrapText="false"/>
    </xf>
    <xf numFmtId="170" fontId="762" fillId="8" borderId="6" xfId="0" applyFill="true" applyFont="true" applyBorder="true" applyNumberFormat="true">
      <alignment horizontal="left" vertical="top" indent="1" wrapText="false"/>
    </xf>
    <xf numFmtId="170" fontId="763" fillId="6" borderId="6" xfId="0" applyFill="true" applyFont="true" applyBorder="true" applyNumberFormat="true">
      <alignment horizontal="left" vertical="top" indent="1" wrapText="false"/>
    </xf>
    <xf numFmtId="170" fontId="764" fillId="8" borderId="6" xfId="0" applyFill="true" applyFont="true" applyBorder="true" applyNumberFormat="true">
      <alignment horizontal="left" vertical="top" indent="1" wrapText="false"/>
    </xf>
    <xf numFmtId="169" fontId="765" fillId="6" borderId="6" xfId="0" applyFill="true" applyFont="true" applyBorder="true" applyNumberFormat="true">
      <alignment horizontal="left" vertical="top" indent="1" wrapText="false"/>
    </xf>
    <xf numFmtId="169" fontId="766" fillId="8" borderId="6" xfId="0" applyFill="true" applyFont="true" applyBorder="true" applyNumberFormat="true">
      <alignment horizontal="left" vertical="top" indent="1" wrapText="false"/>
    </xf>
    <xf numFmtId="170" fontId="767" fillId="6" borderId="6" xfId="0" applyFill="true" applyFont="true" applyBorder="true" applyNumberFormat="true">
      <alignment horizontal="left" vertical="top" indent="1" wrapText="false"/>
    </xf>
    <xf numFmtId="170" fontId="768" fillId="8" borderId="6" xfId="0" applyFill="true" applyFont="true" applyBorder="true" applyNumberFormat="true">
      <alignment horizontal="left" vertical="top" indent="1" wrapText="false"/>
    </xf>
    <xf numFmtId="170" fontId="769" fillId="6" borderId="6" xfId="0" applyFill="true" applyFont="true" applyBorder="true" applyNumberFormat="true">
      <alignment horizontal="left" vertical="top" indent="1" wrapText="false"/>
    </xf>
    <xf numFmtId="170" fontId="770" fillId="8" borderId="6" xfId="0" applyFill="true" applyFont="true" applyBorder="true" applyNumberFormat="true">
      <alignment horizontal="left" vertical="top" indent="1" wrapText="false"/>
    </xf>
    <xf numFmtId="169" fontId="771" fillId="6" borderId="6" xfId="0" applyFill="true" applyFont="true" applyBorder="true" applyNumberFormat="true">
      <alignment horizontal="left" vertical="top" indent="1" wrapText="false"/>
    </xf>
    <xf numFmtId="169" fontId="772" fillId="8" borderId="6" xfId="0" applyFill="true" applyFont="true" applyBorder="true" applyNumberFormat="true">
      <alignment horizontal="left" vertical="top" indent="1" wrapText="false"/>
    </xf>
    <xf numFmtId="170" fontId="773" fillId="6" borderId="6" xfId="0" applyFill="true" applyFont="true" applyBorder="true" applyNumberFormat="true">
      <alignment horizontal="left" vertical="top" indent="1" wrapText="false"/>
    </xf>
    <xf numFmtId="170" fontId="774" fillId="8" borderId="6" xfId="0" applyFill="true" applyFont="true" applyBorder="true" applyNumberFormat="true">
      <alignment horizontal="left" vertical="top" indent="1" wrapText="false"/>
    </xf>
    <xf numFmtId="170" fontId="775" fillId="6" borderId="6" xfId="0" applyFill="true" applyFont="true" applyBorder="true" applyNumberFormat="true">
      <alignment horizontal="left" vertical="top" indent="1" wrapText="false"/>
    </xf>
    <xf numFmtId="170" fontId="776" fillId="8" borderId="6" xfId="0" applyFill="true" applyFont="true" applyBorder="true" applyNumberFormat="true">
      <alignment horizontal="left" vertical="top" indent="1" wrapText="false"/>
    </xf>
    <xf numFmtId="169" fontId="777" fillId="6" borderId="6" xfId="0" applyFill="true" applyFont="true" applyBorder="true" applyNumberFormat="true">
      <alignment horizontal="left" vertical="top" indent="1" wrapText="false"/>
    </xf>
    <xf numFmtId="169" fontId="778" fillId="8" borderId="6" xfId="0" applyFill="true" applyFont="true" applyBorder="true" applyNumberFormat="true">
      <alignment horizontal="left" vertical="top" indent="1" wrapText="false"/>
    </xf>
    <xf numFmtId="170" fontId="779" fillId="6" borderId="6" xfId="0" applyFill="true" applyFont="true" applyBorder="true" applyNumberFormat="true">
      <alignment horizontal="left" vertical="top" indent="1" wrapText="false"/>
    </xf>
    <xf numFmtId="170" fontId="780" fillId="8" borderId="6" xfId="0" applyFill="true" applyFont="true" applyBorder="true" applyNumberFormat="true">
      <alignment horizontal="left" vertical="top" indent="1" wrapText="false"/>
    </xf>
    <xf numFmtId="170" fontId="781" fillId="6" borderId="6" xfId="0" applyFill="true" applyFont="true" applyBorder="true" applyNumberFormat="true">
      <alignment horizontal="left" vertical="top" indent="1" wrapText="false"/>
    </xf>
    <xf numFmtId="170" fontId="782" fillId="8" borderId="6" xfId="0" applyFill="true" applyFont="true" applyBorder="true" applyNumberFormat="true">
      <alignment horizontal="left" vertical="top" indent="1" wrapText="false"/>
    </xf>
    <xf numFmtId="169" fontId="783" fillId="6" borderId="6" xfId="0" applyFill="true" applyFont="true" applyBorder="true" applyNumberFormat="true">
      <alignment horizontal="left" vertical="top" indent="1" wrapText="false"/>
    </xf>
    <xf numFmtId="169" fontId="784" fillId="8" borderId="6" xfId="0" applyFill="true" applyFont="true" applyBorder="true" applyNumberFormat="true">
      <alignment horizontal="left" vertical="top" indent="1" wrapText="false"/>
    </xf>
    <xf numFmtId="0" fontId="785" fillId="6" borderId="6" xfId="0" applyFill="true" applyFont="true" applyBorder="true">
      <alignment horizontal="left" vertical="top" indent="1" wrapText="false"/>
    </xf>
    <xf numFmtId="0" fontId="786" fillId="8" borderId="6" xfId="0" applyFill="true" applyFont="true" applyBorder="true">
      <alignment horizontal="left" vertical="top" indent="1" wrapText="false"/>
    </xf>
    <xf numFmtId="0" fontId="787" fillId="0" borderId="0" xfId="0" applyFont="true">
      <alignment horizontal="general" vertical="bottom"/>
    </xf>
    <xf numFmtId="0" fontId="788" fillId="9" borderId="0" xfId="0" applyFont="true" applyFill="true" applyNumberFormat="true"/>
    <xf numFmtId="0" fontId="789" fillId="9" borderId="0" xfId="0" applyFont="true" applyFill="true" applyNumberFormat="true"/>
    <xf numFmtId="0" fontId="790" fillId="9" borderId="0" xfId="1" applyFont="true" applyFill="true" applyAlignment="1" applyProtection="1" applyNumberFormat="true"/>
    <xf numFmtId="0" fontId="791" fillId="9" borderId="0" xfId="0" applyFont="true" applyFill="true" applyNumberFormat="true"/>
    <xf numFmtId="0" fontId="792" fillId="9" borderId="0" xfId="2" applyFont="true" applyFill="true" applyAlignment="1" applyProtection="1" applyNumberFormat="true"/>
    <xf numFmtId="0" fontId="793" fillId="9" borderId="0" xfId="0" applyFont="true" applyFill="true" applyNumberFormat="true"/>
    <xf numFmtId="0" fontId="794" fillId="9" borderId="0" xfId="0" applyFont="true" applyFill="true" applyNumberFormat="true"/>
    <xf numFmtId="0" fontId="795" fillId="9" borderId="0" xfId="2" applyFont="true" applyFill="true" applyAlignment="1" applyProtection="1" applyNumberFormat="true"/>
    <xf numFmtId="0" fontId="796" fillId="9" borderId="0" xfId="2" applyFont="true" applyFill="true" applyAlignment="1" applyProtection="1" applyNumberFormat="true"/>
    <xf numFmtId="0" fontId="797" fillId="9" borderId="0" xfId="1" applyFont="true" applyFill="true" applyAlignment="1" applyProtection="1" applyNumberFormat="true"/>
    <xf numFmtId="0" fontId="798" fillId="9" borderId="0" xfId="2" applyFont="true" applyFill="true" applyAlignment="1" applyProtection="1" applyNumberFormat="true"/>
    <xf numFmtId="0" fontId="799"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comments" Target="../comments6.xml"/>
  <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22.40234375" collapsed="true"/>
    <col min="3" max="3" customWidth="true" width="30.3515625" collapsed="true"/>
    <col min="1" max="1" customWidth="true" width="10.83984375" collapsed="true"/>
    <col min="2" max="2" customWidth="true" width="35.69921875" collapsed="true"/>
    <col min="7" max="7" customWidth="true" width="30.640625" collapsed="true"/>
    <col min="5" max="5" width="8.671875" customWidth="true"/>
    <col min="6" max="6" width="39.0234375" customWidth="true"/>
    <col min="8" max="8" width="30.640625" customWidth="true"/>
    <col min="9" max="9" width="29.1953125" customWidth="true"/>
    <col min="10" max="10" width="33.2421875" customWidth="true"/>
    <col min="11" max="11" width="28.47265625" customWidth="true"/>
    <col min="12" max="12" width="21.6796875" customWidth="true"/>
    <col min="13" max="13" width="11.8515625" customWidth="true"/>
    <col min="14" max="14" width="18.06640625" customWidth="true"/>
    <col min="15" max="15" width="18.7890625" customWidth="true"/>
    <col min="16" max="16" width="26.015625" customWidth="true"/>
    <col min="17" max="17" width="21.6796875" customWidth="true"/>
    <col min="18" max="18" width="14.01953125" customWidth="true"/>
    <col min="19" max="19" width="13.0078125" customWidth="true"/>
    <col min="20" max="20" width="10.1171875" customWidth="true"/>
    <col min="21" max="21" width="12.71875" customWidth="true"/>
    <col min="22" max="22" width="19.51171875" customWidth="true"/>
    <col min="23" max="23" width="57.8125" customWidth="true"/>
    <col min="24" max="24" width="57.8125" customWidth="true"/>
    <col min="25" max="25" width="12.4296875" customWidth="true"/>
    <col min="26" max="26" width="9.97265625" customWidth="true"/>
    <col min="27" max="27" width="10.984375" customWidth="true"/>
    <col min="28" max="28" width="14.453125" customWidth="true"/>
    <col min="29" max="29" width="11.41796875" customWidth="true"/>
    <col min="30" max="30" width="10.6953125" customWidth="true"/>
    <col min="31" max="31" width="18.7890625" customWidth="true"/>
    <col min="32" max="32" width="19.65625" customWidth="true"/>
    <col min="33" max="33" width="26.8828125" customWidth="true"/>
    <col min="34" max="34" width="26.8828125" customWidth="true"/>
    <col min="35" max="35" width="18.2109375" customWidth="true"/>
    <col min="36" max="36" width="23.125" customWidth="true"/>
    <col min="37" max="37" width="23.125" customWidth="true"/>
    <col min="38" max="38" width="23.125" customWidth="true"/>
    <col min="39" max="39" width="15.8984375" customWidth="true"/>
    <col min="40" max="40" width="17.921875" customWidth="true"/>
    <col min="41" max="41" width="13.73046875" customWidth="true"/>
    <col min="42" max="42" width="13.73046875" customWidth="true"/>
    <col min="43" max="43" width="13.73046875" customWidth="true"/>
    <col min="44" max="44" width="12.28515625" customWidth="true"/>
    <col min="45" max="45" width="23.9921875" customWidth="true"/>
    <col min="46" max="46" width="15.75390625" customWidth="true"/>
    <col min="47" max="47" width="15.75390625" customWidth="true"/>
    <col min="48" max="48" width="37.578125" customWidth="true"/>
    <col min="49" max="49" width="28.90625" customWidth="true"/>
    <col min="50" max="50" width="12.28515625" customWidth="true"/>
    <col min="51" max="51" width="28.90625" customWidth="true"/>
    <col min="52" max="52" width="28.90625" customWidth="true"/>
    <col min="53" max="53" width="28.90625" customWidth="true"/>
    <col min="54" max="54" width="34.109375" customWidth="true"/>
    <col min="55" max="55" width="34.109375" customWidth="true"/>
    <col min="56" max="56" width="34.109375" customWidth="true"/>
    <col min="57" max="57" width="28.90625" customWidth="true"/>
    <col min="58" max="58" width="28.90625" customWidth="true"/>
    <col min="59" max="59" width="16.62109375" customWidth="true"/>
    <col min="60" max="60" width="16.62109375" customWidth="true"/>
    <col min="61" max="61" width="17.34375" customWidth="true"/>
    <col min="62" max="62" width="16.62109375" customWidth="true"/>
    <col min="63" max="63" width="19.3671875" customWidth="true"/>
    <col min="64" max="64" width="18.06640625" customWidth="true"/>
    <col min="65" max="65" width="18.06640625" customWidth="true"/>
    <col min="66" max="66" width="18.06640625" customWidth="true"/>
    <col min="67" max="67" width="18.06640625" customWidth="true"/>
    <col min="68" max="68" width="18.06640625" customWidth="true"/>
    <col min="69" max="69" width="18.06640625" customWidth="true"/>
    <col min="70" max="70" width="18.06640625" customWidth="true"/>
    <col min="71" max="71" width="18.06640625" customWidth="true"/>
    <col min="72" max="72" width="16.91015625" customWidth="true"/>
    <col min="73" max="73" width="17.6328125" customWidth="true"/>
    <col min="74" max="74" width="17.6328125" customWidth="true"/>
    <col min="75" max="75" width="18.06640625" customWidth="true"/>
    <col min="76" max="76" width="18.93359375" customWidth="true"/>
    <col min="77" max="77" width="17.6328125" customWidth="true"/>
    <col min="78" max="78" width="17.6328125" customWidth="true"/>
    <col min="79" max="79" width="17.6328125" customWidth="true"/>
    <col min="80" max="80" width="17.6328125" customWidth="true"/>
    <col min="81" max="81" width="17.6328125" customWidth="true"/>
    <col min="82" max="82" width="17.6328125" customWidth="true"/>
    <col min="83" max="83" width="17.6328125" customWidth="true"/>
    <col min="84" max="84" width="17.6328125" customWidth="true"/>
    <col min="85" max="85" width="12.28515625" customWidth="true"/>
    <col min="86" max="86" width="15.8984375" customWidth="true"/>
    <col min="87" max="87" width="15.8984375" customWidth="true"/>
    <col min="88" max="88" width="15.8984375" customWidth="true"/>
    <col min="89" max="89" width="15.8984375" customWidth="true"/>
    <col min="90" max="90" width="18.7890625" customWidth="true"/>
    <col min="91" max="91" width="16.62109375" customWidth="true"/>
    <col min="92" max="92" width="18.7890625" customWidth="true"/>
    <col min="93" max="93" width="21.96875" customWidth="true"/>
    <col min="94" max="94" width="21.96875" customWidth="true"/>
    <col min="95" max="95" width="18.7890625" customWidth="true"/>
    <col min="96" max="96" width="18.7890625" customWidth="true"/>
    <col min="97" max="97" width="18.7890625" customWidth="true"/>
    <col min="98" max="98" width="18.7890625" customWidth="true"/>
    <col min="99" max="99" width="18.7890625" customWidth="true"/>
    <col min="100" max="100" width="18.7890625" customWidth="true"/>
    <col min="101" max="101" width="10.6953125" customWidth="true"/>
    <col min="102" max="102" width="15.8984375" customWidth="true"/>
    <col min="103" max="103" width="15.8984375" customWidth="true"/>
    <col min="104" max="104" width="15.8984375" customWidth="true"/>
    <col min="105" max="105" width="13.73046875" customWidth="true"/>
    <col min="106" max="106" width="21.6796875" customWidth="true"/>
    <col min="107" max="107" width="13.73046875" customWidth="true"/>
    <col min="108" max="108" width="21.6796875" customWidth="true"/>
    <col min="109" max="109" width="19.078125" customWidth="true"/>
    <col min="110" max="110" width="21.96875" customWidth="true"/>
    <col min="111" max="111" width="15.8984375" customWidth="true"/>
    <col min="112" max="112" width="21.6796875" customWidth="true"/>
    <col min="113" max="113" width="17.34375" customWidth="true"/>
    <col min="114" max="114" width="21.6796875" customWidth="true"/>
    <col min="115" max="115" width="15.8984375" customWidth="true"/>
    <col min="116" max="116" width="21.6796875" customWidth="true"/>
    <col min="117" max="117" width="21.96875" customWidth="true"/>
    <col min="118" max="118" width="21.96875" customWidth="true"/>
    <col min="119" max="119" width="21.96875" customWidth="true"/>
    <col min="120" max="120" width="13.5859375" customWidth="true"/>
    <col min="121" max="121" width="17.6328125" customWidth="true"/>
    <col min="122" max="122" width="17.6328125" customWidth="true"/>
    <col min="123" max="123" width="20.234375" customWidth="true"/>
    <col min="124" max="124" width="20.234375" customWidth="true"/>
    <col min="125" max="125" width="20.5234375" customWidth="true"/>
    <col min="126" max="126" width="13.0078125" customWidth="true"/>
    <col min="127" max="127" width="19.51171875" customWidth="true"/>
    <col min="128" max="128" width="19.51171875" customWidth="true"/>
    <col min="129" max="129" width="18.06640625" customWidth="true"/>
    <col min="130" max="130"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7">
        <v>25</v>
      </c>
      <c r="S8" t="s" s="7">
        <v>26</v>
      </c>
      <c r="T8" t="s" s="7">
        <v>27</v>
      </c>
      <c r="U8" t="s" s="7">
        <v>28</v>
      </c>
      <c r="V8" t="s" s="7">
        <v>29</v>
      </c>
      <c r="W8" t="s" s="7">
        <v>30</v>
      </c>
      <c r="X8" t="s" s="7">
        <v>31</v>
      </c>
      <c r="Y8" t="s" s="7">
        <v>32</v>
      </c>
      <c r="Z8" t="s" s="7">
        <v>33</v>
      </c>
      <c r="AA8" t="s" s="7">
        <v>34</v>
      </c>
      <c r="AB8" t="s" s="7">
        <v>35</v>
      </c>
      <c r="AC8" t="s" s="7">
        <v>36</v>
      </c>
      <c r="AD8" t="s" s="7">
        <v>37</v>
      </c>
      <c r="AE8" t="s" s="7">
        <v>38</v>
      </c>
      <c r="AF8" t="s" s="7">
        <v>39</v>
      </c>
      <c r="AG8" t="s" s="7">
        <v>40</v>
      </c>
      <c r="AH8" t="s" s="7">
        <v>41</v>
      </c>
      <c r="AI8" t="s" s="7">
        <v>42</v>
      </c>
      <c r="AJ8" t="s" s="7">
        <v>43</v>
      </c>
      <c r="AK8" t="s" s="7">
        <v>44</v>
      </c>
      <c r="AL8" t="s" s="7">
        <v>45</v>
      </c>
      <c r="AM8" t="s" s="7">
        <v>46</v>
      </c>
      <c r="AN8" t="s" s="7">
        <v>47</v>
      </c>
      <c r="AO8" t="s" s="7">
        <v>48</v>
      </c>
      <c r="AP8" t="s" s="7">
        <v>49</v>
      </c>
      <c r="AQ8" t="s" s="7">
        <v>50</v>
      </c>
      <c r="AR8" t="s" s="7">
        <v>51</v>
      </c>
      <c r="AS8" t="s" s="7">
        <v>52</v>
      </c>
      <c r="AT8" t="s" s="7">
        <v>53</v>
      </c>
      <c r="AU8" t="s" s="7">
        <v>54</v>
      </c>
      <c r="AV8" t="s" s="7">
        <v>55</v>
      </c>
      <c r="AW8" t="s" s="7">
        <v>56</v>
      </c>
      <c r="AX8" t="s" s="7">
        <v>57</v>
      </c>
      <c r="AY8" t="s" s="7">
        <v>58</v>
      </c>
      <c r="AZ8" t="s" s="7">
        <v>59</v>
      </c>
      <c r="BA8" t="s" s="7">
        <v>60</v>
      </c>
      <c r="BB8" t="s" s="7">
        <v>61</v>
      </c>
      <c r="BC8" t="s" s="7">
        <v>62</v>
      </c>
      <c r="BD8" t="s" s="7">
        <v>63</v>
      </c>
      <c r="BE8" t="s" s="7">
        <v>64</v>
      </c>
      <c r="BF8" t="s" s="7">
        <v>65</v>
      </c>
      <c r="BG8" t="s" s="7">
        <v>66</v>
      </c>
      <c r="BH8" t="s" s="7">
        <v>67</v>
      </c>
      <c r="BI8" t="s" s="7">
        <v>68</v>
      </c>
      <c r="BJ8" t="s" s="7">
        <v>69</v>
      </c>
      <c r="BK8" t="s" s="7">
        <v>70</v>
      </c>
      <c r="BL8" t="s" s="7">
        <v>71</v>
      </c>
      <c r="BM8" t="s" s="7">
        <v>72</v>
      </c>
      <c r="BN8" t="s" s="7">
        <v>73</v>
      </c>
      <c r="BO8" t="s" s="7">
        <v>74</v>
      </c>
      <c r="BP8" t="s" s="7">
        <v>75</v>
      </c>
      <c r="BQ8" t="s" s="7">
        <v>76</v>
      </c>
      <c r="BR8" t="s" s="7">
        <v>77</v>
      </c>
      <c r="BS8" t="s" s="7">
        <v>78</v>
      </c>
      <c r="BT8" t="s" s="7">
        <v>79</v>
      </c>
      <c r="BU8" t="s" s="7">
        <v>80</v>
      </c>
      <c r="BV8" t="s" s="7">
        <v>81</v>
      </c>
      <c r="BW8" t="s" s="7">
        <v>82</v>
      </c>
      <c r="BX8" t="s" s="7">
        <v>83</v>
      </c>
      <c r="BY8" t="s" s="7">
        <v>84</v>
      </c>
      <c r="BZ8" t="s" s="7">
        <v>85</v>
      </c>
      <c r="CA8" t="s" s="7">
        <v>86</v>
      </c>
      <c r="CB8" t="s" s="7">
        <v>87</v>
      </c>
      <c r="CC8" t="s" s="7">
        <v>88</v>
      </c>
      <c r="CD8" t="s" s="7">
        <v>89</v>
      </c>
      <c r="CE8" t="s" s="7">
        <v>90</v>
      </c>
      <c r="CF8" t="s" s="7">
        <v>91</v>
      </c>
      <c r="CG8" t="s" s="7">
        <v>92</v>
      </c>
      <c r="CH8" t="s" s="7">
        <v>93</v>
      </c>
      <c r="CI8" t="s" s="7">
        <v>94</v>
      </c>
      <c r="CJ8" t="s" s="7">
        <v>95</v>
      </c>
      <c r="CK8" t="s" s="7">
        <v>96</v>
      </c>
      <c r="CL8" t="s" s="7">
        <v>97</v>
      </c>
      <c r="CM8" t="s" s="7">
        <v>98</v>
      </c>
      <c r="CN8" t="s" s="7">
        <v>99</v>
      </c>
      <c r="CO8" t="s" s="7">
        <v>100</v>
      </c>
      <c r="CP8" t="s" s="7">
        <v>101</v>
      </c>
      <c r="CQ8" t="s" s="7">
        <v>102</v>
      </c>
      <c r="CR8" t="s" s="7">
        <v>103</v>
      </c>
      <c r="CS8" t="s" s="7">
        <v>104</v>
      </c>
      <c r="CT8" t="s" s="7">
        <v>105</v>
      </c>
      <c r="CU8" t="s" s="7">
        <v>106</v>
      </c>
      <c r="CV8" t="s" s="7">
        <v>107</v>
      </c>
      <c r="CW8" t="s" s="7">
        <v>108</v>
      </c>
      <c r="CX8" t="s" s="7">
        <v>109</v>
      </c>
      <c r="CY8" t="s" s="7">
        <v>110</v>
      </c>
      <c r="CZ8" t="s" s="7">
        <v>111</v>
      </c>
      <c r="DA8" t="s" s="7">
        <v>112</v>
      </c>
      <c r="DB8" t="s" s="7">
        <v>113</v>
      </c>
      <c r="DC8" t="s" s="7">
        <v>114</v>
      </c>
      <c r="DD8" t="s" s="7">
        <v>115</v>
      </c>
      <c r="DE8" t="s" s="7">
        <v>116</v>
      </c>
      <c r="DF8" t="s" s="7">
        <v>117</v>
      </c>
      <c r="DG8" t="s" s="7">
        <v>118</v>
      </c>
      <c r="DH8" t="s" s="7">
        <v>119</v>
      </c>
      <c r="DI8" t="s" s="7">
        <v>120</v>
      </c>
      <c r="DJ8" t="s" s="7">
        <v>121</v>
      </c>
      <c r="DK8" t="s" s="7">
        <v>122</v>
      </c>
      <c r="DL8" t="s" s="7">
        <v>123</v>
      </c>
      <c r="DM8" t="s" s="7">
        <v>124</v>
      </c>
      <c r="DN8" t="s" s="7">
        <v>125</v>
      </c>
      <c r="DO8" t="s" s="7">
        <v>126</v>
      </c>
      <c r="DP8" t="s" s="7">
        <v>127</v>
      </c>
      <c r="DQ8" t="s" s="7">
        <v>128</v>
      </c>
      <c r="DR8" t="s" s="7">
        <v>129</v>
      </c>
      <c r="DS8" t="s" s="7">
        <v>130</v>
      </c>
      <c r="DT8" t="s" s="7">
        <v>131</v>
      </c>
      <c r="DU8" t="s" s="7">
        <v>132</v>
      </c>
      <c r="DV8" t="s" s="7">
        <v>133</v>
      </c>
      <c r="DW8" t="s" s="7">
        <v>134</v>
      </c>
      <c r="DX8" t="s" s="7">
        <v>135</v>
      </c>
      <c r="DY8" t="s" s="7">
        <v>136</v>
      </c>
      <c r="DZ8" t="s" s="8">
        <v>137</v>
      </c>
    </row>
    <row r="9">
      <c r="A9" s="9" t="inlineStr">
        <is>
          <t>149290-93</t>
        </is>
      </c>
      <c r="B9" s="10" t="inlineStr">
        <is>
          <t>Grillido</t>
        </is>
      </c>
      <c r="C9" s="11" t="inlineStr">
        <is>
          <t/>
        </is>
      </c>
      <c r="D9" s="12" t="inlineStr">
        <is>
          <t/>
        </is>
      </c>
      <c r="E9" s="13" t="inlineStr">
        <is>
          <t>149290-93</t>
        </is>
      </c>
      <c r="F9" s="14" t="inlineStr">
        <is>
          <t>Operator of an online platform designed to offer meat products. The company's platform offers grilled sausages made from chicken with spinach and feta to pork with peppers and ham and other meat products with high nutritional value, enabling nutritionally conscious and athletes to have meat products without sacrificing quality, taste and nutritional value.</t>
        </is>
      </c>
      <c r="G9" s="15" t="inlineStr">
        <is>
          <t>Consumer Products and Services (B2C)</t>
        </is>
      </c>
      <c r="H9" s="16" t="inlineStr">
        <is>
          <t>Consumer Non-Durables</t>
        </is>
      </c>
      <c r="I9" s="17" t="inlineStr">
        <is>
          <t>Food Products</t>
        </is>
      </c>
      <c r="J9" s="18" t="inlineStr">
        <is>
          <t>Food Products*; Internet Retail</t>
        </is>
      </c>
      <c r="K9" s="19" t="inlineStr">
        <is>
          <t>E-Commerce</t>
        </is>
      </c>
      <c r="L9" s="20" t="inlineStr">
        <is>
          <t>Venture Capital-Backed</t>
        </is>
      </c>
      <c r="M9" s="21" t="n">
        <v>0.5</v>
      </c>
      <c r="N9" s="22" t="inlineStr">
        <is>
          <t>Generating Revenue</t>
        </is>
      </c>
      <c r="O9" s="23" t="inlineStr">
        <is>
          <t>Privately Held (backing)</t>
        </is>
      </c>
      <c r="P9" s="24" t="inlineStr">
        <is>
          <t>Venture Capital</t>
        </is>
      </c>
      <c r="Q9" s="25" t="inlineStr">
        <is>
          <t>www.grillido.de</t>
        </is>
      </c>
      <c r="R9" s="26" t="n">
        <v>8.0</v>
      </c>
      <c r="S9" s="27" t="inlineStr">
        <is>
          <t/>
        </is>
      </c>
      <c r="T9" s="28" t="inlineStr">
        <is>
          <t/>
        </is>
      </c>
      <c r="U9" s="29" t="n">
        <v>2015.0</v>
      </c>
      <c r="V9" s="30" t="inlineStr">
        <is>
          <t/>
        </is>
      </c>
      <c r="W9" s="31" t="inlineStr">
        <is>
          <t/>
        </is>
      </c>
      <c r="X9" s="32" t="inlineStr">
        <is>
          <t/>
        </is>
      </c>
      <c r="Y9" s="33" t="n">
        <v>0.11943</v>
      </c>
      <c r="Z9" s="34" t="inlineStr">
        <is>
          <t/>
        </is>
      </c>
      <c r="AA9" s="35" t="inlineStr">
        <is>
          <t/>
        </is>
      </c>
      <c r="AB9" s="36" t="inlineStr">
        <is>
          <t/>
        </is>
      </c>
      <c r="AC9" s="37" t="inlineStr">
        <is>
          <t/>
        </is>
      </c>
      <c r="AD9" s="38" t="inlineStr">
        <is>
          <t>FY 2015</t>
        </is>
      </c>
      <c r="AE9" s="39" t="inlineStr">
        <is>
          <t>130674-52P</t>
        </is>
      </c>
      <c r="AF9" s="40" t="inlineStr">
        <is>
          <t>Michael Ziegler</t>
        </is>
      </c>
      <c r="AG9" s="41" t="inlineStr">
        <is>
          <t>Co-Founder, Managing Director &amp; Chief Executive Officer</t>
        </is>
      </c>
      <c r="AH9" s="42" t="inlineStr">
        <is>
          <t>michael@grillido.de</t>
        </is>
      </c>
      <c r="AI9" s="43" t="inlineStr">
        <is>
          <t>+49 (0)89 3801 2923 0</t>
        </is>
      </c>
      <c r="AJ9" s="44" t="inlineStr">
        <is>
          <t>Munich, Germany</t>
        </is>
      </c>
      <c r="AK9" s="45" t="inlineStr">
        <is>
          <t>Karlstraße 96</t>
        </is>
      </c>
      <c r="AL9" s="46" t="inlineStr">
        <is>
          <t/>
        </is>
      </c>
      <c r="AM9" s="47" t="inlineStr">
        <is>
          <t>Munich</t>
        </is>
      </c>
      <c r="AN9" s="48" t="inlineStr">
        <is>
          <t/>
        </is>
      </c>
      <c r="AO9" s="49" t="inlineStr">
        <is>
          <t>80335</t>
        </is>
      </c>
      <c r="AP9" s="50" t="inlineStr">
        <is>
          <t>Germany</t>
        </is>
      </c>
      <c r="AQ9" s="51" t="inlineStr">
        <is>
          <t>+49 (0)89 3801 2923 0</t>
        </is>
      </c>
      <c r="AR9" s="52" t="inlineStr">
        <is>
          <t>+49 (0)89 3801 2923 8</t>
        </is>
      </c>
      <c r="AS9" s="53" t="inlineStr">
        <is>
          <t>info@grillido.de</t>
        </is>
      </c>
      <c r="AT9" s="54" t="inlineStr">
        <is>
          <t>Europe</t>
        </is>
      </c>
      <c r="AU9" s="55" t="inlineStr">
        <is>
          <t>Western Europe</t>
        </is>
      </c>
      <c r="AV9" s="56" t="inlineStr">
        <is>
          <t>The company raised venture funding from Wolfman.One on an undisclosed date.</t>
        </is>
      </c>
      <c r="AW9" s="57" t="inlineStr">
        <is>
          <t>André Schwämmlein, Daniel Krauss, Frank Thelen, Hubertus Bessau, Jochen Engert, LMU Entrepreneurship Center, Max Wittrock, Philipp Kraiss, Wolfman.One</t>
        </is>
      </c>
      <c r="AX9" s="58" t="n">
        <v>9.0</v>
      </c>
      <c r="AY9" s="59" t="inlineStr">
        <is>
          <t/>
        </is>
      </c>
      <c r="AZ9" s="60" t="inlineStr">
        <is>
          <t/>
        </is>
      </c>
      <c r="BA9" s="61" t="inlineStr">
        <is>
          <t/>
        </is>
      </c>
      <c r="BB9" s="62" t="inlineStr">
        <is>
          <t>Frank Thelen (www.frank.io), LMU Entrepreneurship Center (www.entrepreneurship-center.uni-muenchen.de), Wolfman.One (www.wolfman.one)</t>
        </is>
      </c>
      <c r="BC9" s="63" t="inlineStr">
        <is>
          <t/>
        </is>
      </c>
      <c r="BD9" s="64" t="inlineStr">
        <is>
          <t/>
        </is>
      </c>
      <c r="BE9" s="65" t="inlineStr">
        <is>
          <t/>
        </is>
      </c>
      <c r="BF9" s="66" t="inlineStr">
        <is>
          <t/>
        </is>
      </c>
      <c r="BG9" s="67" t="inlineStr">
        <is>
          <t/>
        </is>
      </c>
      <c r="BH9" s="68" t="inlineStr">
        <is>
          <t/>
        </is>
      </c>
      <c r="BI9" s="69" t="inlineStr">
        <is>
          <t/>
        </is>
      </c>
      <c r="BJ9" s="70" t="inlineStr">
        <is>
          <t/>
        </is>
      </c>
      <c r="BK9" s="71" t="inlineStr">
        <is>
          <t/>
        </is>
      </c>
      <c r="BL9" s="72" t="inlineStr">
        <is>
          <t>Accelerator/Incubator</t>
        </is>
      </c>
      <c r="BM9" s="73" t="inlineStr">
        <is>
          <t/>
        </is>
      </c>
      <c r="BN9" s="74" t="inlineStr">
        <is>
          <t/>
        </is>
      </c>
      <c r="BO9" s="75" t="inlineStr">
        <is>
          <t>Other</t>
        </is>
      </c>
      <c r="BP9" s="76" t="inlineStr">
        <is>
          <t/>
        </is>
      </c>
      <c r="BQ9" s="77" t="inlineStr">
        <is>
          <t/>
        </is>
      </c>
      <c r="BR9" s="78" t="inlineStr">
        <is>
          <t/>
        </is>
      </c>
      <c r="BS9" s="79" t="inlineStr">
        <is>
          <t>Completed</t>
        </is>
      </c>
      <c r="BT9" s="80" t="inlineStr">
        <is>
          <t/>
        </is>
      </c>
      <c r="BU9" s="81" t="inlineStr">
        <is>
          <t/>
        </is>
      </c>
      <c r="BV9" s="82" t="inlineStr">
        <is>
          <t/>
        </is>
      </c>
      <c r="BW9" s="83" t="inlineStr">
        <is>
          <t/>
        </is>
      </c>
      <c r="BX9" s="84" t="inlineStr">
        <is>
          <t/>
        </is>
      </c>
      <c r="BY9" s="85" t="inlineStr">
        <is>
          <t>Early Stage VC</t>
        </is>
      </c>
      <c r="BZ9" s="86" t="inlineStr">
        <is>
          <t/>
        </is>
      </c>
      <c r="CA9" s="87" t="inlineStr">
        <is>
          <t/>
        </is>
      </c>
      <c r="CB9" s="88" t="inlineStr">
        <is>
          <t>Venture Capital</t>
        </is>
      </c>
      <c r="CC9" s="89" t="inlineStr">
        <is>
          <t/>
        </is>
      </c>
      <c r="CD9" s="90" t="inlineStr">
        <is>
          <t/>
        </is>
      </c>
      <c r="CE9" s="91" t="inlineStr">
        <is>
          <t/>
        </is>
      </c>
      <c r="CF9" s="92" t="inlineStr">
        <is>
          <t>Completed</t>
        </is>
      </c>
      <c r="CG9" s="93" t="inlineStr">
        <is>
          <t>-0,41%</t>
        </is>
      </c>
      <c r="CH9" s="94" t="inlineStr">
        <is>
          <t>20</t>
        </is>
      </c>
      <c r="CI9" s="95" t="inlineStr">
        <is>
          <t>-0,02%</t>
        </is>
      </c>
      <c r="CJ9" s="96" t="inlineStr">
        <is>
          <t>-3,89%</t>
        </is>
      </c>
      <c r="CK9" s="97" t="inlineStr">
        <is>
          <t>-1,06%</t>
        </is>
      </c>
      <c r="CL9" s="98" t="inlineStr">
        <is>
          <t>19</t>
        </is>
      </c>
      <c r="CM9" s="99" t="inlineStr">
        <is>
          <t>0,24%</t>
        </is>
      </c>
      <c r="CN9" s="100" t="inlineStr">
        <is>
          <t>75</t>
        </is>
      </c>
      <c r="CO9" s="101" t="inlineStr">
        <is>
          <t>-2,12%</t>
        </is>
      </c>
      <c r="CP9" s="102" t="inlineStr">
        <is>
          <t>29</t>
        </is>
      </c>
      <c r="CQ9" s="103" t="inlineStr">
        <is>
          <t>0,00%</t>
        </is>
      </c>
      <c r="CR9" s="104" t="inlineStr">
        <is>
          <t>20</t>
        </is>
      </c>
      <c r="CS9" s="105" t="inlineStr">
        <is>
          <t>0,38%</t>
        </is>
      </c>
      <c r="CT9" s="106" t="inlineStr">
        <is>
          <t>82</t>
        </is>
      </c>
      <c r="CU9" s="107" t="inlineStr">
        <is>
          <t>0,11%</t>
        </is>
      </c>
      <c r="CV9" s="108" t="inlineStr">
        <is>
          <t>67</t>
        </is>
      </c>
      <c r="CW9" s="109" t="inlineStr">
        <is>
          <t>9,65x</t>
        </is>
      </c>
      <c r="CX9" s="110" t="inlineStr">
        <is>
          <t>87</t>
        </is>
      </c>
      <c r="CY9" s="111" t="inlineStr">
        <is>
          <t>0,03x</t>
        </is>
      </c>
      <c r="CZ9" s="112" t="inlineStr">
        <is>
          <t>0,33%</t>
        </is>
      </c>
      <c r="DA9" s="113" t="inlineStr">
        <is>
          <t>10,15x</t>
        </is>
      </c>
      <c r="DB9" s="114" t="inlineStr">
        <is>
          <t>89</t>
        </is>
      </c>
      <c r="DC9" s="115" t="inlineStr">
        <is>
          <t>9,14x</t>
        </is>
      </c>
      <c r="DD9" s="116" t="inlineStr">
        <is>
          <t>83</t>
        </is>
      </c>
      <c r="DE9" s="117" t="inlineStr">
        <is>
          <t>18,31x</t>
        </is>
      </c>
      <c r="DF9" s="118" t="inlineStr">
        <is>
          <t>92</t>
        </is>
      </c>
      <c r="DG9" s="119" t="inlineStr">
        <is>
          <t>2,00x</t>
        </is>
      </c>
      <c r="DH9" s="120" t="inlineStr">
        <is>
          <t>65</t>
        </is>
      </c>
      <c r="DI9" s="121" t="inlineStr">
        <is>
          <t>17,97x</t>
        </is>
      </c>
      <c r="DJ9" s="122" t="inlineStr">
        <is>
          <t>86</t>
        </is>
      </c>
      <c r="DK9" s="123" t="inlineStr">
        <is>
          <t>0,31x</t>
        </is>
      </c>
      <c r="DL9" s="124" t="inlineStr">
        <is>
          <t>30</t>
        </is>
      </c>
      <c r="DM9" s="125" t="inlineStr">
        <is>
          <t>6.686</t>
        </is>
      </c>
      <c r="DN9" s="126" t="inlineStr">
        <is>
          <t>318</t>
        </is>
      </c>
      <c r="DO9" s="127" t="inlineStr">
        <is>
          <t>4,99%</t>
        </is>
      </c>
      <c r="DP9" s="128" t="inlineStr">
        <is>
          <t>14.079</t>
        </is>
      </c>
      <c r="DQ9" s="129" t="inlineStr">
        <is>
          <t>94</t>
        </is>
      </c>
      <c r="DR9" s="130" t="inlineStr">
        <is>
          <t>0,67%</t>
        </is>
      </c>
      <c r="DS9" s="131" t="inlineStr">
        <is>
          <t>72</t>
        </is>
      </c>
      <c r="DT9" s="132" t="inlineStr">
        <is>
          <t>-1</t>
        </is>
      </c>
      <c r="DU9" s="133" t="inlineStr">
        <is>
          <t>-1,37%</t>
        </is>
      </c>
      <c r="DV9" s="134" t="inlineStr">
        <is>
          <t>115</t>
        </is>
      </c>
      <c r="DW9" s="135" t="inlineStr">
        <is>
          <t>-1</t>
        </is>
      </c>
      <c r="DX9" s="136" t="inlineStr">
        <is>
          <t>-0,86%</t>
        </is>
      </c>
      <c r="DY9" s="137" t="inlineStr">
        <is>
          <t>PitchBook Research</t>
        </is>
      </c>
      <c r="DZ9" s="785">
        <f>HYPERLINK("https://my.pitchbook.com?c=149290-93", "View company online")</f>
      </c>
    </row>
    <row r="10">
      <c r="A10" s="139" t="inlineStr">
        <is>
          <t>167092-30</t>
        </is>
      </c>
      <c r="B10" s="140" t="inlineStr">
        <is>
          <t>Amber Mobility</t>
        </is>
      </c>
      <c r="C10" s="141" t="inlineStr">
        <is>
          <t/>
        </is>
      </c>
      <c r="D10" s="142" t="inlineStr">
        <is>
          <t>Amber</t>
        </is>
      </c>
      <c r="E10" s="143" t="inlineStr">
        <is>
          <t>167092-30</t>
        </is>
      </c>
      <c r="F10" s="144" t="inlineStr">
        <is>
          <t>Developer of a car sharing application designed to facilitate transportation via connected automotive services. The company's application lets its users reserve a car and book a ride after locating its position using inbuilt GPS technology, enabling drivers to offer shared rides and collaborative trips by connecting smartphones with lightweight, energy efficient electric cars in Europe.</t>
        </is>
      </c>
      <c r="G10" s="145" t="inlineStr">
        <is>
          <t>Information Technology</t>
        </is>
      </c>
      <c r="H10" s="146" t="inlineStr">
        <is>
          <t>Software</t>
        </is>
      </c>
      <c r="I10" s="147" t="inlineStr">
        <is>
          <t>Application Software</t>
        </is>
      </c>
      <c r="J10" s="148" t="inlineStr">
        <is>
          <t>Application Software*; Automotive; Social/Platform Software</t>
        </is>
      </c>
      <c r="K10" s="149" t="inlineStr">
        <is>
          <t>LOHAS &amp; Wellness, Mobile</t>
        </is>
      </c>
      <c r="L10" s="150" t="inlineStr">
        <is>
          <t>Angel-Backed</t>
        </is>
      </c>
      <c r="M10" s="151" t="n">
        <v>0.5</v>
      </c>
      <c r="N10" s="152" t="inlineStr">
        <is>
          <t>Generating Revenue</t>
        </is>
      </c>
      <c r="O10" s="153" t="inlineStr">
        <is>
          <t>Privately Held (backing)</t>
        </is>
      </c>
      <c r="P10" s="154" t="inlineStr">
        <is>
          <t>Pre-venture</t>
        </is>
      </c>
      <c r="Q10" s="155" t="inlineStr">
        <is>
          <t>www.ambermobility.com</t>
        </is>
      </c>
      <c r="R10" s="156" t="n">
        <v>6.0</v>
      </c>
      <c r="S10" s="157" t="inlineStr">
        <is>
          <t/>
        </is>
      </c>
      <c r="T10" s="158" t="inlineStr">
        <is>
          <t/>
        </is>
      </c>
      <c r="U10" s="159" t="n">
        <v>2016.0</v>
      </c>
      <c r="V10" s="160" t="inlineStr">
        <is>
          <t/>
        </is>
      </c>
      <c r="W10" s="161" t="inlineStr">
        <is>
          <t/>
        </is>
      </c>
      <c r="X10" s="162" t="inlineStr">
        <is>
          <t/>
        </is>
      </c>
      <c r="Y10" s="163" t="inlineStr">
        <is>
          <t/>
        </is>
      </c>
      <c r="Z10" s="164" t="inlineStr">
        <is>
          <t/>
        </is>
      </c>
      <c r="AA10" s="165" t="inlineStr">
        <is>
          <t/>
        </is>
      </c>
      <c r="AB10" s="166" t="inlineStr">
        <is>
          <t/>
        </is>
      </c>
      <c r="AC10" s="167" t="inlineStr">
        <is>
          <t/>
        </is>
      </c>
      <c r="AD10" s="168" t="inlineStr">
        <is>
          <t/>
        </is>
      </c>
      <c r="AE10" s="169" t="inlineStr">
        <is>
          <t>166675-69P</t>
        </is>
      </c>
      <c r="AF10" s="170" t="inlineStr">
        <is>
          <t>Steven Nelemans</t>
        </is>
      </c>
      <c r="AG10" s="171" t="inlineStr">
        <is>
          <t>Co-Founder &amp; Chief Executive Officer</t>
        </is>
      </c>
      <c r="AH10" s="172" t="inlineStr">
        <is>
          <t>steven@ambermobility.com</t>
        </is>
      </c>
      <c r="AI10" s="173" t="inlineStr">
        <is>
          <t>+31 (0)61 982 1277</t>
        </is>
      </c>
      <c r="AJ10" s="174" t="inlineStr">
        <is>
          <t>Eindhoven, Netherlands</t>
        </is>
      </c>
      <c r="AK10" s="175" t="inlineStr">
        <is>
          <t>High Tech Campus 12</t>
        </is>
      </c>
      <c r="AL10" s="176" t="inlineStr">
        <is>
          <t/>
        </is>
      </c>
      <c r="AM10" s="177" t="inlineStr">
        <is>
          <t>Eindhoven</t>
        </is>
      </c>
      <c r="AN10" s="178" t="inlineStr">
        <is>
          <t/>
        </is>
      </c>
      <c r="AO10" s="179" t="inlineStr">
        <is>
          <t>5656 AE</t>
        </is>
      </c>
      <c r="AP10" s="180" t="inlineStr">
        <is>
          <t>Netherlands</t>
        </is>
      </c>
      <c r="AQ10" s="181" t="inlineStr">
        <is>
          <t>+31 (0)61 982 1277</t>
        </is>
      </c>
      <c r="AR10" s="182" t="inlineStr">
        <is>
          <t/>
        </is>
      </c>
      <c r="AS10" s="183" t="inlineStr">
        <is>
          <t>team@amber.team</t>
        </is>
      </c>
      <c r="AT10" s="184" t="inlineStr">
        <is>
          <t>Europe</t>
        </is>
      </c>
      <c r="AU10" s="185" t="inlineStr">
        <is>
          <t>Western Europe</t>
        </is>
      </c>
      <c r="AV10" s="186" t="inlineStr">
        <is>
          <t>The company is planning to raise an undisclosed amount of Series A angel funding in a deal led by Jan Scholt. Previously, the company raised EUR 500,000 of seed funding in a deal led by Jan Scholt on November 1, 2017. Other undisclosed investors also participated in the round. The company intends to use the funding to grow internationally and become a global leader in mobility. The company is being actively tracked by PitchBook.</t>
        </is>
      </c>
      <c r="AW10" s="187" t="inlineStr">
        <is>
          <t>Jan Scholt</t>
        </is>
      </c>
      <c r="AX10" s="188" t="n">
        <v>1.0</v>
      </c>
      <c r="AY10" s="189" t="inlineStr">
        <is>
          <t/>
        </is>
      </c>
      <c r="AZ10" s="190" t="inlineStr">
        <is>
          <t/>
        </is>
      </c>
      <c r="BA10" s="191" t="inlineStr">
        <is>
          <t/>
        </is>
      </c>
      <c r="BB10" s="192" t="inlineStr">
        <is>
          <t/>
        </is>
      </c>
      <c r="BC10" s="193" t="inlineStr">
        <is>
          <t/>
        </is>
      </c>
      <c r="BD10" s="194" t="inlineStr">
        <is>
          <t/>
        </is>
      </c>
      <c r="BE10" s="195" t="inlineStr">
        <is>
          <t>BFrank Analytics (Advisor: General)</t>
        </is>
      </c>
      <c r="BF10" s="196" t="inlineStr">
        <is>
          <t/>
        </is>
      </c>
      <c r="BG10" s="197" t="n">
        <v>43040.0</v>
      </c>
      <c r="BH10" s="198" t="n">
        <v>0.5</v>
      </c>
      <c r="BI10" s="199" t="inlineStr">
        <is>
          <t>Actual</t>
        </is>
      </c>
      <c r="BJ10" s="200" t="inlineStr">
        <is>
          <t/>
        </is>
      </c>
      <c r="BK10" s="201" t="inlineStr">
        <is>
          <t/>
        </is>
      </c>
      <c r="BL10" s="202" t="inlineStr">
        <is>
          <t>Seed Round</t>
        </is>
      </c>
      <c r="BM10" s="203" t="inlineStr">
        <is>
          <t>Seed</t>
        </is>
      </c>
      <c r="BN10" s="204" t="inlineStr">
        <is>
          <t/>
        </is>
      </c>
      <c r="BO10" s="205" t="inlineStr">
        <is>
          <t>Individual</t>
        </is>
      </c>
      <c r="BP10" s="206" t="inlineStr">
        <is>
          <t/>
        </is>
      </c>
      <c r="BQ10" s="207" t="inlineStr">
        <is>
          <t/>
        </is>
      </c>
      <c r="BR10" s="208" t="inlineStr">
        <is>
          <t/>
        </is>
      </c>
      <c r="BS10" s="209" t="inlineStr">
        <is>
          <t>Completed</t>
        </is>
      </c>
      <c r="BT10" s="210" t="n">
        <v>43101.0</v>
      </c>
      <c r="BU10" s="211" t="inlineStr">
        <is>
          <t/>
        </is>
      </c>
      <c r="BV10" s="212" t="inlineStr">
        <is>
          <t/>
        </is>
      </c>
      <c r="BW10" s="213" t="inlineStr">
        <is>
          <t/>
        </is>
      </c>
      <c r="BX10" s="214" t="inlineStr">
        <is>
          <t/>
        </is>
      </c>
      <c r="BY10" s="215" t="inlineStr">
        <is>
          <t>Angel (individual)</t>
        </is>
      </c>
      <c r="BZ10" s="216" t="inlineStr">
        <is>
          <t>Series A</t>
        </is>
      </c>
      <c r="CA10" s="217" t="inlineStr">
        <is>
          <t/>
        </is>
      </c>
      <c r="CB10" s="218" t="inlineStr">
        <is>
          <t>Individual</t>
        </is>
      </c>
      <c r="CC10" s="219" t="inlineStr">
        <is>
          <t/>
        </is>
      </c>
      <c r="CD10" s="220" t="inlineStr">
        <is>
          <t/>
        </is>
      </c>
      <c r="CE10" s="221" t="inlineStr">
        <is>
          <t/>
        </is>
      </c>
      <c r="CF10" s="222" t="inlineStr">
        <is>
          <t>Upcoming</t>
        </is>
      </c>
      <c r="CG10" s="223" t="inlineStr">
        <is>
          <t>-1,54%</t>
        </is>
      </c>
      <c r="CH10" s="224" t="inlineStr">
        <is>
          <t>11</t>
        </is>
      </c>
      <c r="CI10" s="225" t="inlineStr">
        <is>
          <t>-0,08%</t>
        </is>
      </c>
      <c r="CJ10" s="226" t="inlineStr">
        <is>
          <t>-5,53%</t>
        </is>
      </c>
      <c r="CK10" s="227" t="inlineStr">
        <is>
          <t>-3,85%</t>
        </is>
      </c>
      <c r="CL10" s="228" t="inlineStr">
        <is>
          <t>10</t>
        </is>
      </c>
      <c r="CM10" s="229" t="inlineStr">
        <is>
          <t>0,78%</t>
        </is>
      </c>
      <c r="CN10" s="230" t="inlineStr">
        <is>
          <t>94</t>
        </is>
      </c>
      <c r="CO10" s="231" t="inlineStr">
        <is>
          <t>-5,38%</t>
        </is>
      </c>
      <c r="CP10" s="232" t="inlineStr">
        <is>
          <t>20</t>
        </is>
      </c>
      <c r="CQ10" s="233" t="inlineStr">
        <is>
          <t>-2,33%</t>
        </is>
      </c>
      <c r="CR10" s="234" t="inlineStr">
        <is>
          <t>2</t>
        </is>
      </c>
      <c r="CS10" s="235" t="inlineStr">
        <is>
          <t/>
        </is>
      </c>
      <c r="CT10" s="236" t="inlineStr">
        <is>
          <t/>
        </is>
      </c>
      <c r="CU10" s="237" t="inlineStr">
        <is>
          <t>0,78%</t>
        </is>
      </c>
      <c r="CV10" s="238" t="inlineStr">
        <is>
          <t>95</t>
        </is>
      </c>
      <c r="CW10" s="239" t="inlineStr">
        <is>
          <t>1,87x</t>
        </is>
      </c>
      <c r="CX10" s="240" t="inlineStr">
        <is>
          <t>63</t>
        </is>
      </c>
      <c r="CY10" s="241" t="inlineStr">
        <is>
          <t>-0,03x</t>
        </is>
      </c>
      <c r="CZ10" s="242" t="inlineStr">
        <is>
          <t>-1,38%</t>
        </is>
      </c>
      <c r="DA10" s="243" t="inlineStr">
        <is>
          <t>1,96x</t>
        </is>
      </c>
      <c r="DB10" s="244" t="inlineStr">
        <is>
          <t>66</t>
        </is>
      </c>
      <c r="DC10" s="245" t="inlineStr">
        <is>
          <t>1,78x</t>
        </is>
      </c>
      <c r="DD10" s="246" t="inlineStr">
        <is>
          <t>60</t>
        </is>
      </c>
      <c r="DE10" s="247" t="inlineStr">
        <is>
          <t>0,30x</t>
        </is>
      </c>
      <c r="DF10" s="248" t="inlineStr">
        <is>
          <t>22</t>
        </is>
      </c>
      <c r="DG10" s="249" t="inlineStr">
        <is>
          <t>3,61x</t>
        </is>
      </c>
      <c r="DH10" s="250" t="inlineStr">
        <is>
          <t>75</t>
        </is>
      </c>
      <c r="DI10" s="251" t="inlineStr">
        <is>
          <t/>
        </is>
      </c>
      <c r="DJ10" s="252" t="inlineStr">
        <is>
          <t/>
        </is>
      </c>
      <c r="DK10" s="253" t="inlineStr">
        <is>
          <t>1,78x</t>
        </is>
      </c>
      <c r="DL10" s="254" t="inlineStr">
        <is>
          <t>61</t>
        </is>
      </c>
      <c r="DM10" s="255" t="inlineStr">
        <is>
          <t>209</t>
        </is>
      </c>
      <c r="DN10" s="256" t="inlineStr">
        <is>
          <t>-230</t>
        </is>
      </c>
      <c r="DO10" s="257" t="inlineStr">
        <is>
          <t>-52,39%</t>
        </is>
      </c>
      <c r="DP10" s="258" t="inlineStr">
        <is>
          <t/>
        </is>
      </c>
      <c r="DQ10" s="259" t="inlineStr">
        <is>
          <t/>
        </is>
      </c>
      <c r="DR10" s="260" t="inlineStr">
        <is>
          <t/>
        </is>
      </c>
      <c r="DS10" s="261" t="inlineStr">
        <is>
          <t>130</t>
        </is>
      </c>
      <c r="DT10" s="262" t="inlineStr">
        <is>
          <t>-3</t>
        </is>
      </c>
      <c r="DU10" s="263" t="inlineStr">
        <is>
          <t>-2,26%</t>
        </is>
      </c>
      <c r="DV10" s="264" t="inlineStr">
        <is>
          <t>664</t>
        </is>
      </c>
      <c r="DW10" s="265" t="inlineStr">
        <is>
          <t>0</t>
        </is>
      </c>
      <c r="DX10" s="266" t="inlineStr">
        <is>
          <t>0,00%</t>
        </is>
      </c>
      <c r="DY10" s="267" t="inlineStr">
        <is>
          <t>PitchBook Research</t>
        </is>
      </c>
      <c r="DZ10" s="786">
        <f>HYPERLINK("https://my.pitchbook.com?c=167092-30", "View company online")</f>
      </c>
    </row>
    <row r="11">
      <c r="A11" s="9" t="inlineStr">
        <is>
          <t>179036-38</t>
        </is>
      </c>
      <c r="B11" s="10" t="inlineStr">
        <is>
          <t>Clevy</t>
        </is>
      </c>
      <c r="C11" s="11" t="inlineStr">
        <is>
          <t/>
        </is>
      </c>
      <c r="D11" s="12" t="inlineStr">
        <is>
          <t/>
        </is>
      </c>
      <c r="E11" s="13" t="inlineStr">
        <is>
          <t>179036-38</t>
        </is>
      </c>
      <c r="F11" s="14" t="inlineStr">
        <is>
          <t>Developer of a chatbot platform designed to provide direct access to internal company information. The company's platform creates and monitors chatbots that answer frequently asked questions of employees across multiple fields such as HR, helpdesk or business through the combination of machine learning and semantic analysis algorithms, enabling companies to effectively facilitate access to communication and useful information.</t>
        </is>
      </c>
      <c r="G11" s="15" t="inlineStr">
        <is>
          <t>Information Technology</t>
        </is>
      </c>
      <c r="H11" s="16" t="inlineStr">
        <is>
          <t>Software</t>
        </is>
      </c>
      <c r="I11" s="17" t="inlineStr">
        <is>
          <t>Social/Platform Software</t>
        </is>
      </c>
      <c r="J11" s="18" t="inlineStr">
        <is>
          <t>Social/Platform Software*; Business/Productivity Software</t>
        </is>
      </c>
      <c r="K11" s="19" t="inlineStr">
        <is>
          <t>Artificial Intelligence &amp; Machine Learning, Mobile, SaaS</t>
        </is>
      </c>
      <c r="L11" s="20" t="inlineStr">
        <is>
          <t>Angel-Backed</t>
        </is>
      </c>
      <c r="M11" s="21" t="n">
        <v>0.5</v>
      </c>
      <c r="N11" s="22" t="inlineStr">
        <is>
          <t>Generating Revenue</t>
        </is>
      </c>
      <c r="O11" s="23" t="inlineStr">
        <is>
          <t>Privately Held (backing)</t>
        </is>
      </c>
      <c r="P11" s="24" t="inlineStr">
        <is>
          <t>Pre-venture</t>
        </is>
      </c>
      <c r="Q11" s="25" t="inlineStr">
        <is>
          <t>www.clevy.io</t>
        </is>
      </c>
      <c r="R11" s="26" t="inlineStr">
        <is>
          <t/>
        </is>
      </c>
      <c r="S11" s="27" t="inlineStr">
        <is>
          <t/>
        </is>
      </c>
      <c r="T11" s="28" t="inlineStr">
        <is>
          <t/>
        </is>
      </c>
      <c r="U11" s="29" t="n">
        <v>2016.0</v>
      </c>
      <c r="V11" s="30" t="inlineStr">
        <is>
          <t/>
        </is>
      </c>
      <c r="W11" s="31" t="inlineStr">
        <is>
          <t/>
        </is>
      </c>
      <c r="X11" s="32" t="inlineStr">
        <is>
          <t/>
        </is>
      </c>
      <c r="Y11" s="33" t="inlineStr">
        <is>
          <t/>
        </is>
      </c>
      <c r="Z11" s="34" t="inlineStr">
        <is>
          <t/>
        </is>
      </c>
      <c r="AA11" s="35" t="inlineStr">
        <is>
          <t/>
        </is>
      </c>
      <c r="AB11" s="36" t="inlineStr">
        <is>
          <t/>
        </is>
      </c>
      <c r="AC11" s="37" t="inlineStr">
        <is>
          <t/>
        </is>
      </c>
      <c r="AD11" s="38" t="inlineStr">
        <is>
          <t/>
        </is>
      </c>
      <c r="AE11" s="39" t="inlineStr">
        <is>
          <t>171636-31P</t>
        </is>
      </c>
      <c r="AF11" s="40" t="inlineStr">
        <is>
          <t>Salim Jernite</t>
        </is>
      </c>
      <c r="AG11" s="41" t="inlineStr">
        <is>
          <t>Chief Executive Officer &amp; Co-Founder</t>
        </is>
      </c>
      <c r="AH11" s="42" t="inlineStr">
        <is>
          <t>salim@clevy.io</t>
        </is>
      </c>
      <c r="AI11" s="43" t="inlineStr">
        <is>
          <t>+33 (0)6 13 20 21 31</t>
        </is>
      </c>
      <c r="AJ11" s="44" t="inlineStr">
        <is>
          <t>Paris, France</t>
        </is>
      </c>
      <c r="AK11" s="45" t="inlineStr">
        <is>
          <t>28 Rue du Chemin Vert</t>
        </is>
      </c>
      <c r="AL11" s="46" t="inlineStr">
        <is>
          <t/>
        </is>
      </c>
      <c r="AM11" s="47" t="inlineStr">
        <is>
          <t>Paris</t>
        </is>
      </c>
      <c r="AN11" s="48" t="inlineStr">
        <is>
          <t/>
        </is>
      </c>
      <c r="AO11" s="49" t="inlineStr">
        <is>
          <t>75011</t>
        </is>
      </c>
      <c r="AP11" s="50" t="inlineStr">
        <is>
          <t>France</t>
        </is>
      </c>
      <c r="AQ11" s="51" t="inlineStr">
        <is>
          <t>+33 (0)6 13 20 21 31</t>
        </is>
      </c>
      <c r="AR11" s="52" t="inlineStr">
        <is>
          <t/>
        </is>
      </c>
      <c r="AS11" s="53" t="inlineStr">
        <is>
          <t>contact@clevy.io</t>
        </is>
      </c>
      <c r="AT11" s="54" t="inlineStr">
        <is>
          <t>Europe</t>
        </is>
      </c>
      <c r="AU11" s="55" t="inlineStr">
        <is>
          <t>Western Europe</t>
        </is>
      </c>
      <c r="AV11" s="56" t="inlineStr">
        <is>
          <t>The company raised EUR 500,000 of seed funding from undisclosed investors on September 2017.</t>
        </is>
      </c>
      <c r="AW11" s="57" t="inlineStr">
        <is>
          <t/>
        </is>
      </c>
      <c r="AX11" s="58" t="inlineStr">
        <is>
          <t/>
        </is>
      </c>
      <c r="AY11" s="59" t="inlineStr">
        <is>
          <t/>
        </is>
      </c>
      <c r="AZ11" s="60" t="inlineStr">
        <is>
          <t/>
        </is>
      </c>
      <c r="BA11" s="61" t="inlineStr">
        <is>
          <t/>
        </is>
      </c>
      <c r="BB11" s="62" t="inlineStr">
        <is>
          <t/>
        </is>
      </c>
      <c r="BC11" s="63" t="inlineStr">
        <is>
          <t/>
        </is>
      </c>
      <c r="BD11" s="64" t="inlineStr">
        <is>
          <t/>
        </is>
      </c>
      <c r="BE11" s="65" t="inlineStr">
        <is>
          <t/>
        </is>
      </c>
      <c r="BF11" s="66" t="inlineStr">
        <is>
          <t>Angelsquare (Advisor: General)</t>
        </is>
      </c>
      <c r="BG11" s="67" t="n">
        <v>42979.0</v>
      </c>
      <c r="BH11" s="68" t="n">
        <v>0.5</v>
      </c>
      <c r="BI11" s="69" t="inlineStr">
        <is>
          <t>Actual</t>
        </is>
      </c>
      <c r="BJ11" s="70" t="inlineStr">
        <is>
          <t/>
        </is>
      </c>
      <c r="BK11" s="71" t="inlineStr">
        <is>
          <t/>
        </is>
      </c>
      <c r="BL11" s="72" t="inlineStr">
        <is>
          <t>Seed Round</t>
        </is>
      </c>
      <c r="BM11" s="73" t="inlineStr">
        <is>
          <t>Seed</t>
        </is>
      </c>
      <c r="BN11" s="74" t="inlineStr">
        <is>
          <t/>
        </is>
      </c>
      <c r="BO11" s="75" t="inlineStr">
        <is>
          <t>Individual</t>
        </is>
      </c>
      <c r="BP11" s="76" t="inlineStr">
        <is>
          <t/>
        </is>
      </c>
      <c r="BQ11" s="77" t="inlineStr">
        <is>
          <t/>
        </is>
      </c>
      <c r="BR11" s="78" t="inlineStr">
        <is>
          <t/>
        </is>
      </c>
      <c r="BS11" s="79" t="inlineStr">
        <is>
          <t>Completed</t>
        </is>
      </c>
      <c r="BT11" s="80" t="n">
        <v>42979.0</v>
      </c>
      <c r="BU11" s="81" t="n">
        <v>0.5</v>
      </c>
      <c r="BV11" s="82" t="inlineStr">
        <is>
          <t>Actual</t>
        </is>
      </c>
      <c r="BW11" s="83" t="inlineStr">
        <is>
          <t/>
        </is>
      </c>
      <c r="BX11" s="84" t="inlineStr">
        <is>
          <t/>
        </is>
      </c>
      <c r="BY11" s="85" t="inlineStr">
        <is>
          <t>Seed Round</t>
        </is>
      </c>
      <c r="BZ11" s="86" t="inlineStr">
        <is>
          <t>Seed</t>
        </is>
      </c>
      <c r="CA11" s="87" t="inlineStr">
        <is>
          <t/>
        </is>
      </c>
      <c r="CB11" s="88" t="inlineStr">
        <is>
          <t>Individual</t>
        </is>
      </c>
      <c r="CC11" s="89" t="inlineStr">
        <is>
          <t/>
        </is>
      </c>
      <c r="CD11" s="90" t="inlineStr">
        <is>
          <t/>
        </is>
      </c>
      <c r="CE11" s="91" t="inlineStr">
        <is>
          <t/>
        </is>
      </c>
      <c r="CF11" s="92" t="inlineStr">
        <is>
          <t>Completed</t>
        </is>
      </c>
      <c r="CG11" s="93" t="inlineStr">
        <is>
          <t>-0,98%</t>
        </is>
      </c>
      <c r="CH11" s="94" t="inlineStr">
        <is>
          <t>14</t>
        </is>
      </c>
      <c r="CI11" s="95" t="inlineStr">
        <is>
          <t>0,04%</t>
        </is>
      </c>
      <c r="CJ11" s="96" t="inlineStr">
        <is>
          <t>3,70%</t>
        </is>
      </c>
      <c r="CK11" s="97" t="inlineStr">
        <is>
          <t>-2,88%</t>
        </is>
      </c>
      <c r="CL11" s="98" t="inlineStr">
        <is>
          <t>12</t>
        </is>
      </c>
      <c r="CM11" s="99" t="inlineStr">
        <is>
          <t>0,93%</t>
        </is>
      </c>
      <c r="CN11" s="100" t="inlineStr">
        <is>
          <t>95</t>
        </is>
      </c>
      <c r="CO11" s="101" t="inlineStr">
        <is>
          <t>-2,88%</t>
        </is>
      </c>
      <c r="CP11" s="102" t="inlineStr">
        <is>
          <t>27</t>
        </is>
      </c>
      <c r="CQ11" s="103" t="inlineStr">
        <is>
          <t/>
        </is>
      </c>
      <c r="CR11" s="104" t="inlineStr">
        <is>
          <t/>
        </is>
      </c>
      <c r="CS11" s="105" t="inlineStr">
        <is>
          <t>0,49%</t>
        </is>
      </c>
      <c r="CT11" s="106" t="inlineStr">
        <is>
          <t>87</t>
        </is>
      </c>
      <c r="CU11" s="107" t="inlineStr">
        <is>
          <t>1,37%</t>
        </is>
      </c>
      <c r="CV11" s="108" t="inlineStr">
        <is>
          <t>98</t>
        </is>
      </c>
      <c r="CW11" s="109" t="inlineStr">
        <is>
          <t>0,92x</t>
        </is>
      </c>
      <c r="CX11" s="110" t="inlineStr">
        <is>
          <t>47</t>
        </is>
      </c>
      <c r="CY11" s="111" t="inlineStr">
        <is>
          <t>0,00x</t>
        </is>
      </c>
      <c r="CZ11" s="112" t="inlineStr">
        <is>
          <t>0,14%</t>
        </is>
      </c>
      <c r="DA11" s="113" t="inlineStr">
        <is>
          <t>1,30x</t>
        </is>
      </c>
      <c r="DB11" s="114" t="inlineStr">
        <is>
          <t>57</t>
        </is>
      </c>
      <c r="DC11" s="115" t="inlineStr">
        <is>
          <t>0,53x</t>
        </is>
      </c>
      <c r="DD11" s="116" t="inlineStr">
        <is>
          <t>36</t>
        </is>
      </c>
      <c r="DE11" s="117" t="inlineStr">
        <is>
          <t>1,30x</t>
        </is>
      </c>
      <c r="DF11" s="118" t="inlineStr">
        <is>
          <t>57</t>
        </is>
      </c>
      <c r="DG11" s="119" t="inlineStr">
        <is>
          <t/>
        </is>
      </c>
      <c r="DH11" s="120" t="inlineStr">
        <is>
          <t/>
        </is>
      </c>
      <c r="DI11" s="121" t="inlineStr">
        <is>
          <t>0,13x</t>
        </is>
      </c>
      <c r="DJ11" s="122" t="inlineStr">
        <is>
          <t>17</t>
        </is>
      </c>
      <c r="DK11" s="123" t="inlineStr">
        <is>
          <t>0,93x</t>
        </is>
      </c>
      <c r="DL11" s="124" t="inlineStr">
        <is>
          <t>49</t>
        </is>
      </c>
      <c r="DM11" s="125" t="inlineStr">
        <is>
          <t>503</t>
        </is>
      </c>
      <c r="DN11" s="126" t="inlineStr">
        <is>
          <t>-63</t>
        </is>
      </c>
      <c r="DO11" s="127" t="inlineStr">
        <is>
          <t>-11,13%</t>
        </is>
      </c>
      <c r="DP11" s="128" t="inlineStr">
        <is>
          <t>104</t>
        </is>
      </c>
      <c r="DQ11" s="129" t="inlineStr">
        <is>
          <t>1</t>
        </is>
      </c>
      <c r="DR11" s="130" t="inlineStr">
        <is>
          <t>0,97%</t>
        </is>
      </c>
      <c r="DS11" s="131" t="inlineStr">
        <is>
          <t/>
        </is>
      </c>
      <c r="DT11" s="132" t="inlineStr">
        <is>
          <t/>
        </is>
      </c>
      <c r="DU11" s="133" t="inlineStr">
        <is>
          <t/>
        </is>
      </c>
      <c r="DV11" s="134" t="inlineStr">
        <is>
          <t>342</t>
        </is>
      </c>
      <c r="DW11" s="135" t="inlineStr">
        <is>
          <t>3</t>
        </is>
      </c>
      <c r="DX11" s="136" t="inlineStr">
        <is>
          <t>0,88%</t>
        </is>
      </c>
      <c r="DY11" s="137" t="inlineStr">
        <is>
          <t>PitchBook Research</t>
        </is>
      </c>
      <c r="DZ11" s="785">
        <f>HYPERLINK("https://my.pitchbook.com?c=179036-38", "View company online")</f>
      </c>
    </row>
    <row r="12">
      <c r="A12" s="139" t="inlineStr">
        <is>
          <t>184861-99</t>
        </is>
      </c>
      <c r="B12" s="140" t="inlineStr">
        <is>
          <t>Implicity</t>
        </is>
      </c>
      <c r="C12" s="141" t="inlineStr">
        <is>
          <t/>
        </is>
      </c>
      <c r="D12" s="142" t="inlineStr">
        <is>
          <t/>
        </is>
      </c>
      <c r="E12" s="143" t="inlineStr">
        <is>
          <t>184861-99</t>
        </is>
      </c>
      <c r="F12" s="144" t="inlineStr">
        <is>
          <t>Developer of a Saas based remote monitoring platform designed to provide smart monitoring of connected cardiac prostheses. The company's platform sorts and summarizes data of patients with connected pacemakers and defibrillators with the help of artificial intelligence module and determines the criticality of each alert taking into account the medical context of the patient, enabling cardiologists and healthcare professionals to automate the remote monitoring of their patients and get patients telepulse on a single platform.</t>
        </is>
      </c>
      <c r="G12" s="145" t="inlineStr">
        <is>
          <t>Healthcare</t>
        </is>
      </c>
      <c r="H12" s="146" t="inlineStr">
        <is>
          <t>Healthcare Technology Systems</t>
        </is>
      </c>
      <c r="I12" s="147" t="inlineStr">
        <is>
          <t>Other Healthcare Technology Systems</t>
        </is>
      </c>
      <c r="J12" s="148" t="inlineStr">
        <is>
          <t>Other Healthcare Technology Systems*</t>
        </is>
      </c>
      <c r="K12" s="149" t="inlineStr">
        <is>
          <t>Artificial Intelligence &amp; Machine Learning, HealthTech, SaaS</t>
        </is>
      </c>
      <c r="L12" s="150" t="inlineStr">
        <is>
          <t>Accelerator/Incubator Backed</t>
        </is>
      </c>
      <c r="M12" s="151" t="n">
        <v>0.5</v>
      </c>
      <c r="N12" s="152" t="inlineStr">
        <is>
          <t>Generating Revenue</t>
        </is>
      </c>
      <c r="O12" s="153" t="inlineStr">
        <is>
          <t>Privately Held (backing)</t>
        </is>
      </c>
      <c r="P12" s="154" t="inlineStr">
        <is>
          <t>Venture Capital</t>
        </is>
      </c>
      <c r="Q12" s="155" t="inlineStr">
        <is>
          <t>www.implicity.fr</t>
        </is>
      </c>
      <c r="R12" s="156" t="inlineStr">
        <is>
          <t/>
        </is>
      </c>
      <c r="S12" s="157" t="inlineStr">
        <is>
          <t/>
        </is>
      </c>
      <c r="T12" s="158" t="inlineStr">
        <is>
          <t/>
        </is>
      </c>
      <c r="U12" s="159" t="n">
        <v>2016.0</v>
      </c>
      <c r="V12" s="160" t="inlineStr">
        <is>
          <t/>
        </is>
      </c>
      <c r="W12" s="161" t="inlineStr">
        <is>
          <t/>
        </is>
      </c>
      <c r="X12" s="162" t="inlineStr">
        <is>
          <t/>
        </is>
      </c>
      <c r="Y12" s="163" t="inlineStr">
        <is>
          <t/>
        </is>
      </c>
      <c r="Z12" s="164" t="inlineStr">
        <is>
          <t/>
        </is>
      </c>
      <c r="AA12" s="165" t="inlineStr">
        <is>
          <t/>
        </is>
      </c>
      <c r="AB12" s="166" t="inlineStr">
        <is>
          <t/>
        </is>
      </c>
      <c r="AC12" s="167" t="inlineStr">
        <is>
          <t/>
        </is>
      </c>
      <c r="AD12" s="168" t="inlineStr">
        <is>
          <t/>
        </is>
      </c>
      <c r="AE12" s="169" t="inlineStr">
        <is>
          <t>172933-84P</t>
        </is>
      </c>
      <c r="AF12" s="170" t="inlineStr">
        <is>
          <t>Arnaud Rosier</t>
        </is>
      </c>
      <c r="AG12" s="171" t="inlineStr">
        <is>
          <t>Chief Executive Officer &amp; Co-Founder</t>
        </is>
      </c>
      <c r="AH12" s="172" t="inlineStr">
        <is>
          <t>arnaud.rosier@implicity.fr</t>
        </is>
      </c>
      <c r="AI12" s="173" t="inlineStr">
        <is>
          <t>+33 (0)6 71 26 67 99</t>
        </is>
      </c>
      <c r="AJ12" s="174" t="inlineStr">
        <is>
          <t>Paris, France</t>
        </is>
      </c>
      <c r="AK12" s="175" t="inlineStr">
        <is>
          <t>96 bis Boulevard Raspail</t>
        </is>
      </c>
      <c r="AL12" s="176" t="inlineStr">
        <is>
          <t/>
        </is>
      </c>
      <c r="AM12" s="177" t="inlineStr">
        <is>
          <t>Paris</t>
        </is>
      </c>
      <c r="AN12" s="178" t="inlineStr">
        <is>
          <t/>
        </is>
      </c>
      <c r="AO12" s="179" t="inlineStr">
        <is>
          <t>75006</t>
        </is>
      </c>
      <c r="AP12" s="180" t="inlineStr">
        <is>
          <t>France</t>
        </is>
      </c>
      <c r="AQ12" s="181" t="inlineStr">
        <is>
          <t>+33 (0)6 71 26 67 99</t>
        </is>
      </c>
      <c r="AR12" s="182" t="inlineStr">
        <is>
          <t/>
        </is>
      </c>
      <c r="AS12" s="183" t="inlineStr">
        <is>
          <t>contact@implicity.fr</t>
        </is>
      </c>
      <c r="AT12" s="184" t="inlineStr">
        <is>
          <t>Europe</t>
        </is>
      </c>
      <c r="AU12" s="185" t="inlineStr">
        <is>
          <t>Western Europe</t>
        </is>
      </c>
      <c r="AV12" s="186" t="inlineStr">
        <is>
          <t>The company raised EUR 500,000 of seed funding from Angelsquare in October, 2017.</t>
        </is>
      </c>
      <c r="AW12" s="187" t="inlineStr">
        <is>
          <t>Agoranov, Angelsquare, Bpifrance, Ministère de l'Education nationale, de l'Enseignement supérieur et de la Recherche</t>
        </is>
      </c>
      <c r="AX12" s="188" t="n">
        <v>4.0</v>
      </c>
      <c r="AY12" s="189" t="inlineStr">
        <is>
          <t/>
        </is>
      </c>
      <c r="AZ12" s="190" t="inlineStr">
        <is>
          <t/>
        </is>
      </c>
      <c r="BA12" s="191" t="inlineStr">
        <is>
          <t/>
        </is>
      </c>
      <c r="BB12" s="192" t="inlineStr">
        <is>
          <t>Agoranov (www.agoranov.com), Angelsquare (www.angelsquare.co), Bpifrance (www.bpifrance.fr), Ministère de l'Education nationale, de l'Enseignement supérieur et de la Recherche (enseignementsup-recherche.gouv.fr)</t>
        </is>
      </c>
      <c r="BC12" s="193" t="inlineStr">
        <is>
          <t/>
        </is>
      </c>
      <c r="BD12" s="194" t="inlineStr">
        <is>
          <t/>
        </is>
      </c>
      <c r="BE12" s="195" t="inlineStr">
        <is>
          <t/>
        </is>
      </c>
      <c r="BF12" s="196" t="inlineStr">
        <is>
          <t/>
        </is>
      </c>
      <c r="BG12" s="197" t="inlineStr">
        <is>
          <t/>
        </is>
      </c>
      <c r="BH12" s="198" t="inlineStr">
        <is>
          <t/>
        </is>
      </c>
      <c r="BI12" s="199" t="inlineStr">
        <is>
          <t/>
        </is>
      </c>
      <c r="BJ12" s="200" t="inlineStr">
        <is>
          <t/>
        </is>
      </c>
      <c r="BK12" s="201" t="inlineStr">
        <is>
          <t/>
        </is>
      </c>
      <c r="BL12" s="202" t="inlineStr">
        <is>
          <t>Accelerator/Incubator</t>
        </is>
      </c>
      <c r="BM12" s="203" t="inlineStr">
        <is>
          <t/>
        </is>
      </c>
      <c r="BN12" s="204" t="inlineStr">
        <is>
          <t/>
        </is>
      </c>
      <c r="BO12" s="205" t="inlineStr">
        <is>
          <t>Other</t>
        </is>
      </c>
      <c r="BP12" s="206" t="inlineStr">
        <is>
          <t/>
        </is>
      </c>
      <c r="BQ12" s="207" t="inlineStr">
        <is>
          <t/>
        </is>
      </c>
      <c r="BR12" s="208" t="inlineStr">
        <is>
          <t/>
        </is>
      </c>
      <c r="BS12" s="209" t="inlineStr">
        <is>
          <t>Completed</t>
        </is>
      </c>
      <c r="BT12" s="210" t="n">
        <v>43009.0</v>
      </c>
      <c r="BU12" s="211" t="n">
        <v>0.5</v>
      </c>
      <c r="BV12" s="212" t="inlineStr">
        <is>
          <t>Actual</t>
        </is>
      </c>
      <c r="BW12" s="213" t="inlineStr">
        <is>
          <t/>
        </is>
      </c>
      <c r="BX12" s="214" t="inlineStr">
        <is>
          <t/>
        </is>
      </c>
      <c r="BY12" s="215" t="inlineStr">
        <is>
          <t>Seed Round</t>
        </is>
      </c>
      <c r="BZ12" s="216" t="inlineStr">
        <is>
          <t>Seed</t>
        </is>
      </c>
      <c r="CA12" s="217" t="inlineStr">
        <is>
          <t/>
        </is>
      </c>
      <c r="CB12" s="218" t="inlineStr">
        <is>
          <t>Individual</t>
        </is>
      </c>
      <c r="CC12" s="219" t="inlineStr">
        <is>
          <t/>
        </is>
      </c>
      <c r="CD12" s="220" t="inlineStr">
        <is>
          <t/>
        </is>
      </c>
      <c r="CE12" s="221" t="inlineStr">
        <is>
          <t/>
        </is>
      </c>
      <c r="CF12" s="222" t="inlineStr">
        <is>
          <t>Completed</t>
        </is>
      </c>
      <c r="CG12" s="223" t="inlineStr">
        <is>
          <t>0,00%</t>
        </is>
      </c>
      <c r="CH12" s="224" t="inlineStr">
        <is>
          <t>33</t>
        </is>
      </c>
      <c r="CI12" s="225" t="inlineStr">
        <is>
          <t>0,00%</t>
        </is>
      </c>
      <c r="CJ12" s="226" t="inlineStr">
        <is>
          <t>0,00%</t>
        </is>
      </c>
      <c r="CK12" s="227" t="inlineStr">
        <is>
          <t>0,00%</t>
        </is>
      </c>
      <c r="CL12" s="228" t="inlineStr">
        <is>
          <t>28</t>
        </is>
      </c>
      <c r="CM12" s="229" t="inlineStr">
        <is>
          <t>0,00%</t>
        </is>
      </c>
      <c r="CN12" s="230" t="inlineStr">
        <is>
          <t>20</t>
        </is>
      </c>
      <c r="CO12" s="231" t="inlineStr">
        <is>
          <t/>
        </is>
      </c>
      <c r="CP12" s="232" t="inlineStr">
        <is>
          <t/>
        </is>
      </c>
      <c r="CQ12" s="233" t="inlineStr">
        <is>
          <t>0,00%</t>
        </is>
      </c>
      <c r="CR12" s="234" t="inlineStr">
        <is>
          <t>20</t>
        </is>
      </c>
      <c r="CS12" s="235" t="inlineStr">
        <is>
          <t>0,00%</t>
        </is>
      </c>
      <c r="CT12" s="236" t="inlineStr">
        <is>
          <t>18</t>
        </is>
      </c>
      <c r="CU12" s="237" t="inlineStr">
        <is>
          <t>0,00%</t>
        </is>
      </c>
      <c r="CV12" s="238" t="inlineStr">
        <is>
          <t>21</t>
        </is>
      </c>
      <c r="CW12" s="239" t="inlineStr">
        <is>
          <t>0,28x</t>
        </is>
      </c>
      <c r="CX12" s="240" t="inlineStr">
        <is>
          <t>21</t>
        </is>
      </c>
      <c r="CY12" s="241" t="inlineStr">
        <is>
          <t>-0,08x</t>
        </is>
      </c>
      <c r="CZ12" s="242" t="inlineStr">
        <is>
          <t>-23,06%</t>
        </is>
      </c>
      <c r="DA12" s="243" t="inlineStr">
        <is>
          <t>0,50x</t>
        </is>
      </c>
      <c r="DB12" s="244" t="inlineStr">
        <is>
          <t>34</t>
        </is>
      </c>
      <c r="DC12" s="245" t="inlineStr">
        <is>
          <t>0,06x</t>
        </is>
      </c>
      <c r="DD12" s="246" t="inlineStr">
        <is>
          <t>9</t>
        </is>
      </c>
      <c r="DE12" s="247" t="inlineStr">
        <is>
          <t/>
        </is>
      </c>
      <c r="DF12" s="248" t="inlineStr">
        <is>
          <t/>
        </is>
      </c>
      <c r="DG12" s="249" t="inlineStr">
        <is>
          <t>0,50x</t>
        </is>
      </c>
      <c r="DH12" s="250" t="inlineStr">
        <is>
          <t>35</t>
        </is>
      </c>
      <c r="DI12" s="251" t="inlineStr">
        <is>
          <t>0,02x</t>
        </is>
      </c>
      <c r="DJ12" s="252" t="inlineStr">
        <is>
          <t>4</t>
        </is>
      </c>
      <c r="DK12" s="253" t="inlineStr">
        <is>
          <t>0,10x</t>
        </is>
      </c>
      <c r="DL12" s="254" t="inlineStr">
        <is>
          <t>16</t>
        </is>
      </c>
      <c r="DM12" s="255" t="inlineStr">
        <is>
          <t/>
        </is>
      </c>
      <c r="DN12" s="256" t="inlineStr">
        <is>
          <t/>
        </is>
      </c>
      <c r="DO12" s="257" t="inlineStr">
        <is>
          <t/>
        </is>
      </c>
      <c r="DP12" s="258" t="inlineStr">
        <is>
          <t>12</t>
        </is>
      </c>
      <c r="DQ12" s="259" t="inlineStr">
        <is>
          <t>0</t>
        </is>
      </c>
      <c r="DR12" s="260" t="inlineStr">
        <is>
          <t>0,00%</t>
        </is>
      </c>
      <c r="DS12" s="261" t="inlineStr">
        <is>
          <t>15</t>
        </is>
      </c>
      <c r="DT12" s="262" t="inlineStr">
        <is>
          <t>2</t>
        </is>
      </c>
      <c r="DU12" s="263" t="inlineStr">
        <is>
          <t>15,38%</t>
        </is>
      </c>
      <c r="DV12" s="264" t="inlineStr">
        <is>
          <t>35</t>
        </is>
      </c>
      <c r="DW12" s="265" t="inlineStr">
        <is>
          <t>0</t>
        </is>
      </c>
      <c r="DX12" s="266" t="inlineStr">
        <is>
          <t>0,00%</t>
        </is>
      </c>
      <c r="DY12" s="267" t="inlineStr">
        <is>
          <t>PitchBook Research</t>
        </is>
      </c>
      <c r="DZ12" s="786">
        <f>HYPERLINK("https://my.pitchbook.com?c=184861-99", "View company online")</f>
      </c>
    </row>
    <row r="13">
      <c r="A13" s="9" t="inlineStr">
        <is>
          <t>187065-10</t>
        </is>
      </c>
      <c r="B13" s="10" t="inlineStr">
        <is>
          <t>ScanMovers</t>
        </is>
      </c>
      <c r="C13" s="11" t="inlineStr">
        <is>
          <t/>
        </is>
      </c>
      <c r="D13" s="12" t="inlineStr">
        <is>
          <t/>
        </is>
      </c>
      <c r="E13" s="13" t="inlineStr">
        <is>
          <t>187065-10</t>
        </is>
      </c>
      <c r="F13" s="14" t="inlineStr">
        <is>
          <t>Developer of online based logistics and supply chain software platform designed to get price transparency. The company's online based logistics and supply chain software platform is an independent online and mobile platform where one can quickly obtain, compare and select deals for professional moving services, enabling users to get price transparency and information related to quotation structures, insurance, consumer reviews and storage.</t>
        </is>
      </c>
      <c r="G13" s="15" t="inlineStr">
        <is>
          <t>Business Products and Services (B2B)</t>
        </is>
      </c>
      <c r="H13" s="16" t="inlineStr">
        <is>
          <t>Commercial Services</t>
        </is>
      </c>
      <c r="I13" s="17" t="inlineStr">
        <is>
          <t>Logistics</t>
        </is>
      </c>
      <c r="J13" s="18" t="inlineStr">
        <is>
          <t>Logistics*; Business/Productivity Software</t>
        </is>
      </c>
      <c r="K13" s="19" t="inlineStr">
        <is>
          <t>Mobile</t>
        </is>
      </c>
      <c r="L13" s="20" t="inlineStr">
        <is>
          <t>Angel-Backed</t>
        </is>
      </c>
      <c r="M13" s="21" t="n">
        <v>0.5</v>
      </c>
      <c r="N13" s="22" t="inlineStr">
        <is>
          <t>Generating Revenue</t>
        </is>
      </c>
      <c r="O13" s="23" t="inlineStr">
        <is>
          <t>Privately Held (backing)</t>
        </is>
      </c>
      <c r="P13" s="24" t="inlineStr">
        <is>
          <t>Pre-venture</t>
        </is>
      </c>
      <c r="Q13" s="25" t="inlineStr">
        <is>
          <t>www.scanmovers.nl</t>
        </is>
      </c>
      <c r="R13" s="26" t="inlineStr">
        <is>
          <t/>
        </is>
      </c>
      <c r="S13" s="27" t="inlineStr">
        <is>
          <t/>
        </is>
      </c>
      <c r="T13" s="28" t="inlineStr">
        <is>
          <t/>
        </is>
      </c>
      <c r="U13" s="29" t="n">
        <v>2016.0</v>
      </c>
      <c r="V13" s="30" t="inlineStr">
        <is>
          <t/>
        </is>
      </c>
      <c r="W13" s="31" t="inlineStr">
        <is>
          <t/>
        </is>
      </c>
      <c r="X13" s="32" t="inlineStr">
        <is>
          <t/>
        </is>
      </c>
      <c r="Y13" s="33" t="inlineStr">
        <is>
          <t/>
        </is>
      </c>
      <c r="Z13" s="34" t="inlineStr">
        <is>
          <t/>
        </is>
      </c>
      <c r="AA13" s="35" t="inlineStr">
        <is>
          <t/>
        </is>
      </c>
      <c r="AB13" s="36" t="inlineStr">
        <is>
          <t/>
        </is>
      </c>
      <c r="AC13" s="37" t="inlineStr">
        <is>
          <t/>
        </is>
      </c>
      <c r="AD13" s="38" t="inlineStr">
        <is>
          <t/>
        </is>
      </c>
      <c r="AE13" s="39" t="inlineStr">
        <is>
          <t>172611-82P</t>
        </is>
      </c>
      <c r="AF13" s="40" t="inlineStr">
        <is>
          <t>Maurits Koopman</t>
        </is>
      </c>
      <c r="AG13" s="41" t="inlineStr">
        <is>
          <t>Co-Founder</t>
        </is>
      </c>
      <c r="AH13" s="42" t="inlineStr">
        <is>
          <t>mkoopman@scanmovers.nl</t>
        </is>
      </c>
      <c r="AI13" s="43" t="inlineStr">
        <is>
          <t>+31 (0)85 303 5229</t>
        </is>
      </c>
      <c r="AJ13" s="44" t="inlineStr">
        <is>
          <t>Amsterdam, Netherlands</t>
        </is>
      </c>
      <c r="AK13" s="45" t="inlineStr">
        <is>
          <t>Prince Hendrikkade 189B</t>
        </is>
      </c>
      <c r="AL13" s="46" t="inlineStr">
        <is>
          <t/>
        </is>
      </c>
      <c r="AM13" s="47" t="inlineStr">
        <is>
          <t>Amsterdam</t>
        </is>
      </c>
      <c r="AN13" s="48" t="inlineStr">
        <is>
          <t/>
        </is>
      </c>
      <c r="AO13" s="49" t="inlineStr">
        <is>
          <t/>
        </is>
      </c>
      <c r="AP13" s="50" t="inlineStr">
        <is>
          <t>Netherlands</t>
        </is>
      </c>
      <c r="AQ13" s="51" t="inlineStr">
        <is>
          <t>+31 (0)85 303 5229</t>
        </is>
      </c>
      <c r="AR13" s="52" t="inlineStr">
        <is>
          <t/>
        </is>
      </c>
      <c r="AS13" s="53" t="inlineStr">
        <is>
          <t/>
        </is>
      </c>
      <c r="AT13" s="54" t="inlineStr">
        <is>
          <t>Europe</t>
        </is>
      </c>
      <c r="AU13" s="55" t="inlineStr">
        <is>
          <t>Western Europe</t>
        </is>
      </c>
      <c r="AV13" s="56" t="inlineStr">
        <is>
          <t>The company raised EUR 500,000 of angel funding from undisclosed investors on September 27, 2017.</t>
        </is>
      </c>
      <c r="AW13" s="57" t="inlineStr">
        <is>
          <t/>
        </is>
      </c>
      <c r="AX13" s="58" t="inlineStr">
        <is>
          <t/>
        </is>
      </c>
      <c r="AY13" s="59" t="inlineStr">
        <is>
          <t/>
        </is>
      </c>
      <c r="AZ13" s="60" t="inlineStr">
        <is>
          <t/>
        </is>
      </c>
      <c r="BA13" s="61" t="inlineStr">
        <is>
          <t/>
        </is>
      </c>
      <c r="BB13" s="62" t="inlineStr">
        <is>
          <t/>
        </is>
      </c>
      <c r="BC13" s="63" t="inlineStr">
        <is>
          <t/>
        </is>
      </c>
      <c r="BD13" s="64" t="inlineStr">
        <is>
          <t/>
        </is>
      </c>
      <c r="BE13" s="65" t="inlineStr">
        <is>
          <t/>
        </is>
      </c>
      <c r="BF13" s="66" t="inlineStr">
        <is>
          <t/>
        </is>
      </c>
      <c r="BG13" s="67" t="n">
        <v>43005.0</v>
      </c>
      <c r="BH13" s="68" t="n">
        <v>0.5</v>
      </c>
      <c r="BI13" s="69" t="inlineStr">
        <is>
          <t>Actual</t>
        </is>
      </c>
      <c r="BJ13" s="70" t="inlineStr">
        <is>
          <t/>
        </is>
      </c>
      <c r="BK13" s="71" t="inlineStr">
        <is>
          <t/>
        </is>
      </c>
      <c r="BL13" s="72" t="inlineStr">
        <is>
          <t>Angel (individual)</t>
        </is>
      </c>
      <c r="BM13" s="73" t="inlineStr">
        <is>
          <t>Angel</t>
        </is>
      </c>
      <c r="BN13" s="74" t="inlineStr">
        <is>
          <t/>
        </is>
      </c>
      <c r="BO13" s="75" t="inlineStr">
        <is>
          <t>Individual</t>
        </is>
      </c>
      <c r="BP13" s="76" t="inlineStr">
        <is>
          <t/>
        </is>
      </c>
      <c r="BQ13" s="77" t="inlineStr">
        <is>
          <t/>
        </is>
      </c>
      <c r="BR13" s="78" t="inlineStr">
        <is>
          <t/>
        </is>
      </c>
      <c r="BS13" s="79" t="inlineStr">
        <is>
          <t>Completed</t>
        </is>
      </c>
      <c r="BT13" s="80" t="n">
        <v>43005.0</v>
      </c>
      <c r="BU13" s="81" t="n">
        <v>0.5</v>
      </c>
      <c r="BV13" s="82" t="inlineStr">
        <is>
          <t>Actual</t>
        </is>
      </c>
      <c r="BW13" s="83" t="inlineStr">
        <is>
          <t/>
        </is>
      </c>
      <c r="BX13" s="84" t="inlineStr">
        <is>
          <t/>
        </is>
      </c>
      <c r="BY13" s="85" t="inlineStr">
        <is>
          <t>Angel (individual)</t>
        </is>
      </c>
      <c r="BZ13" s="86" t="inlineStr">
        <is>
          <t>Angel</t>
        </is>
      </c>
      <c r="CA13" s="87" t="inlineStr">
        <is>
          <t/>
        </is>
      </c>
      <c r="CB13" s="88" t="inlineStr">
        <is>
          <t>Individual</t>
        </is>
      </c>
      <c r="CC13" s="89" t="inlineStr">
        <is>
          <t/>
        </is>
      </c>
      <c r="CD13" s="90" t="inlineStr">
        <is>
          <t/>
        </is>
      </c>
      <c r="CE13" s="91" t="inlineStr">
        <is>
          <t/>
        </is>
      </c>
      <c r="CF13" s="92" t="inlineStr">
        <is>
          <t>Completed</t>
        </is>
      </c>
      <c r="CG13" s="93" t="inlineStr">
        <is>
          <t>-0,03%</t>
        </is>
      </c>
      <c r="CH13" s="94" t="inlineStr">
        <is>
          <t>28</t>
        </is>
      </c>
      <c r="CI13" s="95" t="inlineStr">
        <is>
          <t/>
        </is>
      </c>
      <c r="CJ13" s="96" t="inlineStr">
        <is>
          <t/>
        </is>
      </c>
      <c r="CK13" s="97" t="inlineStr">
        <is>
          <t>0,00%</t>
        </is>
      </c>
      <c r="CL13" s="98" t="inlineStr">
        <is>
          <t>28</t>
        </is>
      </c>
      <c r="CM13" s="99" t="inlineStr">
        <is>
          <t>-0,06%</t>
        </is>
      </c>
      <c r="CN13" s="100" t="inlineStr">
        <is>
          <t>8</t>
        </is>
      </c>
      <c r="CO13" s="101" t="inlineStr">
        <is>
          <t/>
        </is>
      </c>
      <c r="CP13" s="102" t="inlineStr">
        <is>
          <t/>
        </is>
      </c>
      <c r="CQ13" s="103" t="inlineStr">
        <is>
          <t>0,00%</t>
        </is>
      </c>
      <c r="CR13" s="104" t="inlineStr">
        <is>
          <t>20</t>
        </is>
      </c>
      <c r="CS13" s="105" t="inlineStr">
        <is>
          <t>-0,11%</t>
        </is>
      </c>
      <c r="CT13" s="106" t="inlineStr">
        <is>
          <t>2</t>
        </is>
      </c>
      <c r="CU13" s="107" t="inlineStr">
        <is>
          <t>0,00%</t>
        </is>
      </c>
      <c r="CV13" s="108" t="inlineStr">
        <is>
          <t>21</t>
        </is>
      </c>
      <c r="CW13" s="109" t="inlineStr">
        <is>
          <t>0,90x</t>
        </is>
      </c>
      <c r="CX13" s="110" t="inlineStr">
        <is>
          <t>47</t>
        </is>
      </c>
      <c r="CY13" s="111" t="inlineStr">
        <is>
          <t/>
        </is>
      </c>
      <c r="CZ13" s="112" t="inlineStr">
        <is>
          <t/>
        </is>
      </c>
      <c r="DA13" s="113" t="inlineStr">
        <is>
          <t>0,17x</t>
        </is>
      </c>
      <c r="DB13" s="114" t="inlineStr">
        <is>
          <t>15</t>
        </is>
      </c>
      <c r="DC13" s="115" t="inlineStr">
        <is>
          <t>1,62x</t>
        </is>
      </c>
      <c r="DD13" s="116" t="inlineStr">
        <is>
          <t>58</t>
        </is>
      </c>
      <c r="DE13" s="117" t="inlineStr">
        <is>
          <t/>
        </is>
      </c>
      <c r="DF13" s="118" t="inlineStr">
        <is>
          <t/>
        </is>
      </c>
      <c r="DG13" s="119" t="inlineStr">
        <is>
          <t>0,17x</t>
        </is>
      </c>
      <c r="DH13" s="120" t="inlineStr">
        <is>
          <t>16</t>
        </is>
      </c>
      <c r="DI13" s="121" t="inlineStr">
        <is>
          <t>3,11x</t>
        </is>
      </c>
      <c r="DJ13" s="122" t="inlineStr">
        <is>
          <t>68</t>
        </is>
      </c>
      <c r="DK13" s="123" t="inlineStr">
        <is>
          <t>0,14x</t>
        </is>
      </c>
      <c r="DL13" s="124" t="inlineStr">
        <is>
          <t>20</t>
        </is>
      </c>
      <c r="DM13" s="125" t="inlineStr">
        <is>
          <t/>
        </is>
      </c>
      <c r="DN13" s="126" t="inlineStr">
        <is>
          <t/>
        </is>
      </c>
      <c r="DO13" s="127" t="inlineStr">
        <is>
          <t/>
        </is>
      </c>
      <c r="DP13" s="128" t="inlineStr">
        <is>
          <t>2.460</t>
        </is>
      </c>
      <c r="DQ13" s="129" t="inlineStr">
        <is>
          <t>1</t>
        </is>
      </c>
      <c r="DR13" s="130" t="inlineStr">
        <is>
          <t>0,04%</t>
        </is>
      </c>
      <c r="DS13" s="131" t="inlineStr">
        <is>
          <t>5</t>
        </is>
      </c>
      <c r="DT13" s="132" t="inlineStr">
        <is>
          <t>0</t>
        </is>
      </c>
      <c r="DU13" s="133" t="inlineStr">
        <is>
          <t>0,00%</t>
        </is>
      </c>
      <c r="DV13" s="134" t="inlineStr">
        <is>
          <t>53</t>
        </is>
      </c>
      <c r="DW13" s="135" t="inlineStr">
        <is>
          <t>0</t>
        </is>
      </c>
      <c r="DX13" s="136" t="inlineStr">
        <is>
          <t>0,00%</t>
        </is>
      </c>
      <c r="DY13" s="137" t="inlineStr">
        <is>
          <t>PitchBook Research</t>
        </is>
      </c>
      <c r="DZ13" s="785">
        <f>HYPERLINK("https://my.pitchbook.com?c=187065-10", "View company online")</f>
      </c>
    </row>
    <row r="14">
      <c r="A14" s="139" t="inlineStr">
        <is>
          <t>222283-63</t>
        </is>
      </c>
      <c r="B14" s="140" t="inlineStr">
        <is>
          <t>3-Vision</t>
        </is>
      </c>
      <c r="C14" s="141" t="inlineStr">
        <is>
          <t/>
        </is>
      </c>
      <c r="D14" s="142" t="inlineStr">
        <is>
          <t/>
        </is>
      </c>
      <c r="E14" s="143" t="inlineStr">
        <is>
          <t>222283-63</t>
        </is>
      </c>
      <c r="F14" s="144" t="inlineStr">
        <is>
          <t>Manufacturer and producer of building elements in wood. The company's construction technology focuses on manufacturing of wooden houses, enabling customers to get delivery of energy-efficient and cost-effective building elements entirely in wood to single-family, multi-family houses and public buildings.</t>
        </is>
      </c>
      <c r="G14" s="145" t="inlineStr">
        <is>
          <t>Business Products and Services (B2B)</t>
        </is>
      </c>
      <c r="H14" s="146" t="inlineStr">
        <is>
          <t>Commercial Products</t>
        </is>
      </c>
      <c r="I14" s="147" t="inlineStr">
        <is>
          <t>Building Products</t>
        </is>
      </c>
      <c r="J14" s="148" t="inlineStr">
        <is>
          <t>Building Products*; Wood/Hard Products</t>
        </is>
      </c>
      <c r="K14" s="149" t="inlineStr">
        <is>
          <t>CleanTech, Manufacturing</t>
        </is>
      </c>
      <c r="L14" s="150" t="inlineStr">
        <is>
          <t>Venture Capital-Backed</t>
        </is>
      </c>
      <c r="M14" s="151" t="n">
        <v>0.52</v>
      </c>
      <c r="N14" s="152" t="inlineStr">
        <is>
          <t>Generating Revenue</t>
        </is>
      </c>
      <c r="O14" s="153" t="inlineStr">
        <is>
          <t>Privately Held (backing)</t>
        </is>
      </c>
      <c r="P14" s="154" t="inlineStr">
        <is>
          <t>Venture Capital</t>
        </is>
      </c>
      <c r="Q14" s="155" t="inlineStr">
        <is>
          <t>www.3-vision.se</t>
        </is>
      </c>
      <c r="R14" s="156" t="inlineStr">
        <is>
          <t/>
        </is>
      </c>
      <c r="S14" s="157" t="inlineStr">
        <is>
          <t/>
        </is>
      </c>
      <c r="T14" s="158" t="inlineStr">
        <is>
          <t/>
        </is>
      </c>
      <c r="U14" s="159" t="inlineStr">
        <is>
          <t/>
        </is>
      </c>
      <c r="V14" s="160" t="inlineStr">
        <is>
          <t/>
        </is>
      </c>
      <c r="W14" s="161" t="inlineStr">
        <is>
          <t/>
        </is>
      </c>
      <c r="X14" s="162" t="inlineStr">
        <is>
          <t/>
        </is>
      </c>
      <c r="Y14" s="163" t="inlineStr">
        <is>
          <t/>
        </is>
      </c>
      <c r="Z14" s="164" t="inlineStr">
        <is>
          <t/>
        </is>
      </c>
      <c r="AA14" s="165" t="inlineStr">
        <is>
          <t/>
        </is>
      </c>
      <c r="AB14" s="166" t="inlineStr">
        <is>
          <t/>
        </is>
      </c>
      <c r="AC14" s="167" t="inlineStr">
        <is>
          <t/>
        </is>
      </c>
      <c r="AD14" s="168" t="inlineStr">
        <is>
          <t/>
        </is>
      </c>
      <c r="AE14" s="169" t="inlineStr">
        <is>
          <t>174590-47P</t>
        </is>
      </c>
      <c r="AF14" s="170" t="inlineStr">
        <is>
          <t>Niclas Schedvin</t>
        </is>
      </c>
      <c r="AG14" s="171" t="inlineStr">
        <is>
          <t>Chief Executive Officer</t>
        </is>
      </c>
      <c r="AH14" s="172" t="inlineStr">
        <is>
          <t>niclas@3-visjon.no</t>
        </is>
      </c>
      <c r="AI14" s="173" t="inlineStr">
        <is>
          <t>+46 (0)070-595 16 46</t>
        </is>
      </c>
      <c r="AJ14" s="174" t="inlineStr">
        <is>
          <t>Särna, Sweden</t>
        </is>
      </c>
      <c r="AK14" s="175" t="inlineStr">
        <is>
          <t>Stuttvägen 15</t>
        </is>
      </c>
      <c r="AL14" s="176" t="inlineStr">
        <is>
          <t/>
        </is>
      </c>
      <c r="AM14" s="177" t="inlineStr">
        <is>
          <t>Särna</t>
        </is>
      </c>
      <c r="AN14" s="178" t="inlineStr">
        <is>
          <t/>
        </is>
      </c>
      <c r="AO14" s="179" t="inlineStr">
        <is>
          <t>790 90</t>
        </is>
      </c>
      <c r="AP14" s="180" t="inlineStr">
        <is>
          <t>Sweden</t>
        </is>
      </c>
      <c r="AQ14" s="181" t="inlineStr">
        <is>
          <t>+46 (0)070-595 16 46</t>
        </is>
      </c>
      <c r="AR14" s="182" t="inlineStr">
        <is>
          <t/>
        </is>
      </c>
      <c r="AS14" s="183" t="inlineStr">
        <is>
          <t/>
        </is>
      </c>
      <c r="AT14" s="184" t="inlineStr">
        <is>
          <t>Europe</t>
        </is>
      </c>
      <c r="AU14" s="185" t="inlineStr">
        <is>
          <t>Northern Europe</t>
        </is>
      </c>
      <c r="AV14" s="186" t="inlineStr">
        <is>
          <t>The company raised SEK 5 million of venture funding from Almi Invest and other undisclosed private investors on November, 13, 2017. The money will be spent on building the new factory in Särna and for marketing in Sweden and Norway.</t>
        </is>
      </c>
      <c r="AW14" s="187" t="inlineStr">
        <is>
          <t>Almi Invest, Dalarna Science Park</t>
        </is>
      </c>
      <c r="AX14" s="188" t="n">
        <v>2.0</v>
      </c>
      <c r="AY14" s="189" t="inlineStr">
        <is>
          <t/>
        </is>
      </c>
      <c r="AZ14" s="190" t="inlineStr">
        <is>
          <t/>
        </is>
      </c>
      <c r="BA14" s="191" t="inlineStr">
        <is>
          <t/>
        </is>
      </c>
      <c r="BB14" s="192" t="inlineStr">
        <is>
          <t>Dalarna Science Park (www.dalarnasciencepark.se)</t>
        </is>
      </c>
      <c r="BC14" s="193" t="inlineStr">
        <is>
          <t/>
        </is>
      </c>
      <c r="BD14" s="194" t="inlineStr">
        <is>
          <t/>
        </is>
      </c>
      <c r="BE14" s="195" t="inlineStr">
        <is>
          <t/>
        </is>
      </c>
      <c r="BF14" s="196" t="inlineStr">
        <is>
          <t/>
        </is>
      </c>
      <c r="BG14" s="197" t="inlineStr">
        <is>
          <t/>
        </is>
      </c>
      <c r="BH14" s="198" t="inlineStr">
        <is>
          <t/>
        </is>
      </c>
      <c r="BI14" s="199" t="inlineStr">
        <is>
          <t/>
        </is>
      </c>
      <c r="BJ14" s="200" t="inlineStr">
        <is>
          <t/>
        </is>
      </c>
      <c r="BK14" s="201" t="inlineStr">
        <is>
          <t/>
        </is>
      </c>
      <c r="BL14" s="202" t="inlineStr">
        <is>
          <t>Accelerator/Incubator</t>
        </is>
      </c>
      <c r="BM14" s="203" t="inlineStr">
        <is>
          <t/>
        </is>
      </c>
      <c r="BN14" s="204" t="inlineStr">
        <is>
          <t/>
        </is>
      </c>
      <c r="BO14" s="205" t="inlineStr">
        <is>
          <t>Other</t>
        </is>
      </c>
      <c r="BP14" s="206" t="inlineStr">
        <is>
          <t/>
        </is>
      </c>
      <c r="BQ14" s="207" t="inlineStr">
        <is>
          <t/>
        </is>
      </c>
      <c r="BR14" s="208" t="inlineStr">
        <is>
          <t/>
        </is>
      </c>
      <c r="BS14" s="209" t="inlineStr">
        <is>
          <t>Completed</t>
        </is>
      </c>
      <c r="BT14" s="210" t="n">
        <v>43052.0</v>
      </c>
      <c r="BU14" s="211" t="n">
        <v>0.52</v>
      </c>
      <c r="BV14" s="212" t="inlineStr">
        <is>
          <t>Actual</t>
        </is>
      </c>
      <c r="BW14" s="213" t="inlineStr">
        <is>
          <t/>
        </is>
      </c>
      <c r="BX14" s="214" t="inlineStr">
        <is>
          <t/>
        </is>
      </c>
      <c r="BY14" s="215" t="inlineStr">
        <is>
          <t>Early Stage VC</t>
        </is>
      </c>
      <c r="BZ14" s="216" t="inlineStr">
        <is>
          <t/>
        </is>
      </c>
      <c r="CA14" s="217" t="inlineStr">
        <is>
          <t/>
        </is>
      </c>
      <c r="CB14" s="218" t="inlineStr">
        <is>
          <t>Venture Capital</t>
        </is>
      </c>
      <c r="CC14" s="219" t="inlineStr">
        <is>
          <t/>
        </is>
      </c>
      <c r="CD14" s="220" t="inlineStr">
        <is>
          <t/>
        </is>
      </c>
      <c r="CE14" s="221" t="inlineStr">
        <is>
          <t/>
        </is>
      </c>
      <c r="CF14" s="222" t="inlineStr">
        <is>
          <t>Completed</t>
        </is>
      </c>
      <c r="CG14" s="223" t="inlineStr">
        <is>
          <t/>
        </is>
      </c>
      <c r="CH14" s="224" t="inlineStr">
        <is>
          <t/>
        </is>
      </c>
      <c r="CI14" s="225" t="inlineStr">
        <is>
          <t/>
        </is>
      </c>
      <c r="CJ14" s="226" t="inlineStr">
        <is>
          <t/>
        </is>
      </c>
      <c r="CK14" s="227" t="inlineStr">
        <is>
          <t/>
        </is>
      </c>
      <c r="CL14" s="228" t="inlineStr">
        <is>
          <t/>
        </is>
      </c>
      <c r="CM14" s="229" t="inlineStr">
        <is>
          <t/>
        </is>
      </c>
      <c r="CN14" s="230" t="inlineStr">
        <is>
          <t/>
        </is>
      </c>
      <c r="CO14" s="231" t="inlineStr">
        <is>
          <t/>
        </is>
      </c>
      <c r="CP14" s="232" t="inlineStr">
        <is>
          <t/>
        </is>
      </c>
      <c r="CQ14" s="233" t="inlineStr">
        <is>
          <t/>
        </is>
      </c>
      <c r="CR14" s="234" t="inlineStr">
        <is>
          <t/>
        </is>
      </c>
      <c r="CS14" s="235" t="inlineStr">
        <is>
          <t/>
        </is>
      </c>
      <c r="CT14" s="236" t="inlineStr">
        <is>
          <t/>
        </is>
      </c>
      <c r="CU14" s="237" t="inlineStr">
        <is>
          <t/>
        </is>
      </c>
      <c r="CV14" s="238" t="inlineStr">
        <is>
          <t/>
        </is>
      </c>
      <c r="CW14" s="239" t="inlineStr">
        <is>
          <t/>
        </is>
      </c>
      <c r="CX14" s="240" t="inlineStr">
        <is>
          <t/>
        </is>
      </c>
      <c r="CY14" s="241" t="inlineStr">
        <is>
          <t/>
        </is>
      </c>
      <c r="CZ14" s="242" t="inlineStr">
        <is>
          <t/>
        </is>
      </c>
      <c r="DA14" s="243" t="inlineStr">
        <is>
          <t/>
        </is>
      </c>
      <c r="DB14" s="244" t="inlineStr">
        <is>
          <t/>
        </is>
      </c>
      <c r="DC14" s="245" t="inlineStr">
        <is>
          <t/>
        </is>
      </c>
      <c r="DD14" s="246" t="inlineStr">
        <is>
          <t/>
        </is>
      </c>
      <c r="DE14" s="247" t="inlineStr">
        <is>
          <t/>
        </is>
      </c>
      <c r="DF14" s="248" t="inlineStr">
        <is>
          <t/>
        </is>
      </c>
      <c r="DG14" s="249" t="inlineStr">
        <is>
          <t/>
        </is>
      </c>
      <c r="DH14" s="250" t="inlineStr">
        <is>
          <t/>
        </is>
      </c>
      <c r="DI14" s="251" t="inlineStr">
        <is>
          <t/>
        </is>
      </c>
      <c r="DJ14" s="252" t="inlineStr">
        <is>
          <t/>
        </is>
      </c>
      <c r="DK14" s="253" t="inlineStr">
        <is>
          <t/>
        </is>
      </c>
      <c r="DL14" s="254" t="inlineStr">
        <is>
          <t/>
        </is>
      </c>
      <c r="DM14" s="255" t="inlineStr">
        <is>
          <t/>
        </is>
      </c>
      <c r="DN14" s="256" t="inlineStr">
        <is>
          <t/>
        </is>
      </c>
      <c r="DO14" s="257" t="inlineStr">
        <is>
          <t/>
        </is>
      </c>
      <c r="DP14" s="258" t="inlineStr">
        <is>
          <t/>
        </is>
      </c>
      <c r="DQ14" s="259" t="inlineStr">
        <is>
          <t/>
        </is>
      </c>
      <c r="DR14" s="260" t="inlineStr">
        <is>
          <t/>
        </is>
      </c>
      <c r="DS14" s="261" t="inlineStr">
        <is>
          <t/>
        </is>
      </c>
      <c r="DT14" s="262" t="inlineStr">
        <is>
          <t/>
        </is>
      </c>
      <c r="DU14" s="263" t="inlineStr">
        <is>
          <t/>
        </is>
      </c>
      <c r="DV14" s="264" t="inlineStr">
        <is>
          <t/>
        </is>
      </c>
      <c r="DW14" s="265" t="inlineStr">
        <is>
          <t/>
        </is>
      </c>
      <c r="DX14" s="266" t="inlineStr">
        <is>
          <t/>
        </is>
      </c>
      <c r="DY14" s="267" t="inlineStr">
        <is>
          <t>PitchBook Research</t>
        </is>
      </c>
      <c r="DZ14" s="786">
        <f>HYPERLINK("https://my.pitchbook.com?c=222283-63", "View company online")</f>
      </c>
    </row>
    <row r="15">
      <c r="A15" s="9" t="inlineStr">
        <is>
          <t>166312-54</t>
        </is>
      </c>
      <c r="B15" s="10" t="inlineStr">
        <is>
          <t>Yakkyo</t>
        </is>
      </c>
      <c r="C15" s="11" t="inlineStr">
        <is>
          <t>Aliangel</t>
        </is>
      </c>
      <c r="D15" s="12" t="inlineStr">
        <is>
          <t/>
        </is>
      </c>
      <c r="E15" s="13" t="inlineStr">
        <is>
          <t>166312-54</t>
        </is>
      </c>
      <c r="F15" s="14" t="inlineStr">
        <is>
          <t>Developer of a supplier searching platform designed to help users buy products from China. The company's supplier searching platform is integrated with an easy-to-use chatbot and offers door to door delivery and no minimum order quantity limits, enabling micro-businesses and small and medium-sized enterprises to connect with Chinese wholesalers to buy Chinese products and get them door delivered.</t>
        </is>
      </c>
      <c r="G15" s="15" t="inlineStr">
        <is>
          <t>Information Technology</t>
        </is>
      </c>
      <c r="H15" s="16" t="inlineStr">
        <is>
          <t>Software</t>
        </is>
      </c>
      <c r="I15" s="17" t="inlineStr">
        <is>
          <t>Social/Platform Software</t>
        </is>
      </c>
      <c r="J15" s="18" t="inlineStr">
        <is>
          <t>Social/Platform Software*; Internet Retail; Communication Software</t>
        </is>
      </c>
      <c r="K15" s="19" t="inlineStr">
        <is>
          <t>E-Commerce</t>
        </is>
      </c>
      <c r="L15" s="20" t="inlineStr">
        <is>
          <t>Accelerator/Incubator Backed</t>
        </is>
      </c>
      <c r="M15" s="21" t="n">
        <v>0.58</v>
      </c>
      <c r="N15" s="22" t="inlineStr">
        <is>
          <t>Generating Revenue</t>
        </is>
      </c>
      <c r="O15" s="23" t="inlineStr">
        <is>
          <t>Privately Held (backing)</t>
        </is>
      </c>
      <c r="P15" s="24" t="inlineStr">
        <is>
          <t>Pre-venture</t>
        </is>
      </c>
      <c r="Q15" s="25" t="inlineStr">
        <is>
          <t>www.yakkyo.com</t>
        </is>
      </c>
      <c r="R15" s="26" t="inlineStr">
        <is>
          <t/>
        </is>
      </c>
      <c r="S15" s="27" t="inlineStr">
        <is>
          <t/>
        </is>
      </c>
      <c r="T15" s="28" t="inlineStr">
        <is>
          <t/>
        </is>
      </c>
      <c r="U15" s="29" t="inlineStr">
        <is>
          <t/>
        </is>
      </c>
      <c r="V15" s="30" t="inlineStr">
        <is>
          <t/>
        </is>
      </c>
      <c r="W15" s="31" t="inlineStr">
        <is>
          <t/>
        </is>
      </c>
      <c r="X15" s="32" t="inlineStr">
        <is>
          <t/>
        </is>
      </c>
      <c r="Y15" s="33" t="inlineStr">
        <is>
          <t/>
        </is>
      </c>
      <c r="Z15" s="34" t="inlineStr">
        <is>
          <t/>
        </is>
      </c>
      <c r="AA15" s="35" t="inlineStr">
        <is>
          <t/>
        </is>
      </c>
      <c r="AB15" s="36" t="inlineStr">
        <is>
          <t/>
        </is>
      </c>
      <c r="AC15" s="37" t="inlineStr">
        <is>
          <t/>
        </is>
      </c>
      <c r="AD15" s="38" t="inlineStr">
        <is>
          <t/>
        </is>
      </c>
      <c r="AE15" s="39" t="inlineStr">
        <is>
          <t>145314-91P</t>
        </is>
      </c>
      <c r="AF15" s="40" t="inlineStr">
        <is>
          <t>Giovanni Conforti</t>
        </is>
      </c>
      <c r="AG15" s="41" t="inlineStr">
        <is>
          <t>Chief Executive Officer &amp; Co--Founder</t>
        </is>
      </c>
      <c r="AH15" s="42" t="inlineStr">
        <is>
          <t>cg@yakkyo.com</t>
        </is>
      </c>
      <c r="AI15" s="43" t="inlineStr">
        <is>
          <t>+39 08 0222 2370</t>
        </is>
      </c>
      <c r="AJ15" s="44" t="inlineStr">
        <is>
          <t>Casamassima, Italy</t>
        </is>
      </c>
      <c r="AK15" s="45" t="inlineStr">
        <is>
          <t>Via Rutigliano 77</t>
        </is>
      </c>
      <c r="AL15" s="46" t="inlineStr">
        <is>
          <t/>
        </is>
      </c>
      <c r="AM15" s="47" t="inlineStr">
        <is>
          <t>Casamassima</t>
        </is>
      </c>
      <c r="AN15" s="48" t="inlineStr">
        <is>
          <t/>
        </is>
      </c>
      <c r="AO15" s="49" t="inlineStr">
        <is>
          <t>70010</t>
        </is>
      </c>
      <c r="AP15" s="50" t="inlineStr">
        <is>
          <t>Italy</t>
        </is>
      </c>
      <c r="AQ15" s="51" t="inlineStr">
        <is>
          <t>+39 08 0222 2370</t>
        </is>
      </c>
      <c r="AR15" s="52" t="inlineStr">
        <is>
          <t/>
        </is>
      </c>
      <c r="AS15" s="53" t="inlineStr">
        <is>
          <t>cg@yakkio.com</t>
        </is>
      </c>
      <c r="AT15" s="54" t="inlineStr">
        <is>
          <t>Europe</t>
        </is>
      </c>
      <c r="AU15" s="55" t="inlineStr">
        <is>
          <t>Southern Europe</t>
        </is>
      </c>
      <c r="AV15" s="56" t="inlineStr">
        <is>
          <t>The company joined Luiss Enlabs and received EUR 500,000 in funding on October 14, 2017.</t>
        </is>
      </c>
      <c r="AW15" s="57" t="inlineStr">
        <is>
          <t>Acceleration Business City, Luiss Enlabs</t>
        </is>
      </c>
      <c r="AX15" s="58" t="n">
        <v>2.0</v>
      </c>
      <c r="AY15" s="59" t="inlineStr">
        <is>
          <t/>
        </is>
      </c>
      <c r="AZ15" s="60" t="inlineStr">
        <is>
          <t/>
        </is>
      </c>
      <c r="BA15" s="61" t="inlineStr">
        <is>
          <t/>
        </is>
      </c>
      <c r="BB15" s="62" t="inlineStr">
        <is>
          <t>Acceleration Business City (www.abc-accelerator.com), Luiss Enlabs (www.luissenlabs.com)</t>
        </is>
      </c>
      <c r="BC15" s="63" t="inlineStr">
        <is>
          <t/>
        </is>
      </c>
      <c r="BD15" s="64" t="inlineStr">
        <is>
          <t/>
        </is>
      </c>
      <c r="BE15" s="65" t="inlineStr">
        <is>
          <t/>
        </is>
      </c>
      <c r="BF15" s="66" t="inlineStr">
        <is>
          <t/>
        </is>
      </c>
      <c r="BG15" s="67" t="n">
        <v>42401.0</v>
      </c>
      <c r="BH15" s="68" t="n">
        <v>0.08</v>
      </c>
      <c r="BI15" s="69" t="inlineStr">
        <is>
          <t>Actual</t>
        </is>
      </c>
      <c r="BJ15" s="70" t="n">
        <v>0.89</v>
      </c>
      <c r="BK15" s="71" t="inlineStr">
        <is>
          <t>Actual</t>
        </is>
      </c>
      <c r="BL15" s="72" t="inlineStr">
        <is>
          <t>Accelerator/Incubator</t>
        </is>
      </c>
      <c r="BM15" s="73" t="inlineStr">
        <is>
          <t/>
        </is>
      </c>
      <c r="BN15" s="74" t="inlineStr">
        <is>
          <t/>
        </is>
      </c>
      <c r="BO15" s="75" t="inlineStr">
        <is>
          <t>Other</t>
        </is>
      </c>
      <c r="BP15" s="76" t="inlineStr">
        <is>
          <t/>
        </is>
      </c>
      <c r="BQ15" s="77" t="inlineStr">
        <is>
          <t/>
        </is>
      </c>
      <c r="BR15" s="78" t="inlineStr">
        <is>
          <t/>
        </is>
      </c>
      <c r="BS15" s="79" t="inlineStr">
        <is>
          <t>Completed</t>
        </is>
      </c>
      <c r="BT15" s="80" t="n">
        <v>43022.0</v>
      </c>
      <c r="BU15" s="81" t="n">
        <v>0.5</v>
      </c>
      <c r="BV15" s="82" t="inlineStr">
        <is>
          <t>Actual</t>
        </is>
      </c>
      <c r="BW15" s="83" t="inlineStr">
        <is>
          <t/>
        </is>
      </c>
      <c r="BX15" s="84" t="inlineStr">
        <is>
          <t/>
        </is>
      </c>
      <c r="BY15" s="85" t="inlineStr">
        <is>
          <t>Accelerator/Incubator</t>
        </is>
      </c>
      <c r="BZ15" s="86" t="inlineStr">
        <is>
          <t/>
        </is>
      </c>
      <c r="CA15" s="87" t="inlineStr">
        <is>
          <t/>
        </is>
      </c>
      <c r="CB15" s="88" t="inlineStr">
        <is>
          <t>Other</t>
        </is>
      </c>
      <c r="CC15" s="89" t="inlineStr">
        <is>
          <t/>
        </is>
      </c>
      <c r="CD15" s="90" t="inlineStr">
        <is>
          <t/>
        </is>
      </c>
      <c r="CE15" s="91" t="inlineStr">
        <is>
          <t/>
        </is>
      </c>
      <c r="CF15" s="92" t="inlineStr">
        <is>
          <t>Completed</t>
        </is>
      </c>
      <c r="CG15" s="93" t="inlineStr">
        <is>
          <t>4,75%</t>
        </is>
      </c>
      <c r="CH15" s="94" t="inlineStr">
        <is>
          <t>100</t>
        </is>
      </c>
      <c r="CI15" s="95" t="inlineStr">
        <is>
          <t>-0,09%</t>
        </is>
      </c>
      <c r="CJ15" s="96" t="inlineStr">
        <is>
          <t>-1,95%</t>
        </is>
      </c>
      <c r="CK15" s="97" t="inlineStr">
        <is>
          <t>4,89%</t>
        </is>
      </c>
      <c r="CL15" s="98" t="inlineStr">
        <is>
          <t>99</t>
        </is>
      </c>
      <c r="CM15" s="99" t="inlineStr">
        <is>
          <t>4,60%</t>
        </is>
      </c>
      <c r="CN15" s="100" t="inlineStr">
        <is>
          <t>100</t>
        </is>
      </c>
      <c r="CO15" s="101" t="inlineStr">
        <is>
          <t>9,78%</t>
        </is>
      </c>
      <c r="CP15" s="102" t="inlineStr">
        <is>
          <t>100</t>
        </is>
      </c>
      <c r="CQ15" s="103" t="inlineStr">
        <is>
          <t>0,00%</t>
        </is>
      </c>
      <c r="CR15" s="104" t="inlineStr">
        <is>
          <t>20</t>
        </is>
      </c>
      <c r="CS15" s="105" t="inlineStr">
        <is>
          <t>4,60%</t>
        </is>
      </c>
      <c r="CT15" s="106" t="inlineStr">
        <is>
          <t>100</t>
        </is>
      </c>
      <c r="CU15" s="107" t="inlineStr">
        <is>
          <t/>
        </is>
      </c>
      <c r="CV15" s="108" t="inlineStr">
        <is>
          <t/>
        </is>
      </c>
      <c r="CW15" s="109" t="inlineStr">
        <is>
          <t>4,16x</t>
        </is>
      </c>
      <c r="CX15" s="110" t="inlineStr">
        <is>
          <t>77</t>
        </is>
      </c>
      <c r="CY15" s="111" t="inlineStr">
        <is>
          <t>-0,01x</t>
        </is>
      </c>
      <c r="CZ15" s="112" t="inlineStr">
        <is>
          <t>-0,25%</t>
        </is>
      </c>
      <c r="DA15" s="113" t="inlineStr">
        <is>
          <t>5,74x</t>
        </is>
      </c>
      <c r="DB15" s="114" t="inlineStr">
        <is>
          <t>83</t>
        </is>
      </c>
      <c r="DC15" s="115" t="inlineStr">
        <is>
          <t>2,58x</t>
        </is>
      </c>
      <c r="DD15" s="116" t="inlineStr">
        <is>
          <t>66</t>
        </is>
      </c>
      <c r="DE15" s="117" t="inlineStr">
        <is>
          <t>11,21x</t>
        </is>
      </c>
      <c r="DF15" s="118" t="inlineStr">
        <is>
          <t>89</t>
        </is>
      </c>
      <c r="DG15" s="119" t="inlineStr">
        <is>
          <t>0,28x</t>
        </is>
      </c>
      <c r="DH15" s="120" t="inlineStr">
        <is>
          <t>24</t>
        </is>
      </c>
      <c r="DI15" s="121" t="inlineStr">
        <is>
          <t>2,58x</t>
        </is>
      </c>
      <c r="DJ15" s="122" t="inlineStr">
        <is>
          <t>66</t>
        </is>
      </c>
      <c r="DK15" s="123" t="inlineStr">
        <is>
          <t/>
        </is>
      </c>
      <c r="DL15" s="124" t="inlineStr">
        <is>
          <t/>
        </is>
      </c>
      <c r="DM15" s="125" t="inlineStr">
        <is>
          <t>3.981</t>
        </is>
      </c>
      <c r="DN15" s="126" t="inlineStr">
        <is>
          <t>532</t>
        </is>
      </c>
      <c r="DO15" s="127" t="inlineStr">
        <is>
          <t>15,42%</t>
        </is>
      </c>
      <c r="DP15" s="128" t="inlineStr">
        <is>
          <t>2.044</t>
        </is>
      </c>
      <c r="DQ15" s="129" t="inlineStr">
        <is>
          <t>1</t>
        </is>
      </c>
      <c r="DR15" s="130" t="inlineStr">
        <is>
          <t>0,05%</t>
        </is>
      </c>
      <c r="DS15" s="131" t="inlineStr">
        <is>
          <t>10</t>
        </is>
      </c>
      <c r="DT15" s="132" t="inlineStr">
        <is>
          <t>0</t>
        </is>
      </c>
      <c r="DU15" s="133" t="inlineStr">
        <is>
          <t>0,00%</t>
        </is>
      </c>
      <c r="DV15" s="134" t="inlineStr">
        <is>
          <t>104</t>
        </is>
      </c>
      <c r="DW15" s="135" t="inlineStr">
        <is>
          <t>8</t>
        </is>
      </c>
      <c r="DX15" s="136" t="inlineStr">
        <is>
          <t>8,33%</t>
        </is>
      </c>
      <c r="DY15" s="137" t="inlineStr">
        <is>
          <t>PitchBook Research</t>
        </is>
      </c>
      <c r="DZ15" s="785">
        <f>HYPERLINK("https://my.pitchbook.com?c=166312-54", "View company online")</f>
      </c>
    </row>
    <row r="16">
      <c r="A16" s="139" t="inlineStr">
        <is>
          <t>187436-26</t>
        </is>
      </c>
      <c r="B16" s="140" t="inlineStr">
        <is>
          <t>PapaJobs</t>
        </is>
      </c>
      <c r="C16" s="141" t="inlineStr">
        <is>
          <t/>
        </is>
      </c>
      <c r="D16" s="142" t="inlineStr">
        <is>
          <t/>
        </is>
      </c>
      <c r="E16" s="143" t="inlineStr">
        <is>
          <t>187436-26</t>
        </is>
      </c>
      <c r="F16" s="144" t="inlineStr">
        <is>
          <t>Operator of a job portal. The company's job portal offers a job in 24 hours near the house, it connects applicants to mass vacancies in the fields of transport, retail, services, etc. and companies that are in search of employees.</t>
        </is>
      </c>
      <c r="G16" s="145" t="inlineStr">
        <is>
          <t>Information Technology</t>
        </is>
      </c>
      <c r="H16" s="146" t="inlineStr">
        <is>
          <t>Software</t>
        </is>
      </c>
      <c r="I16" s="147" t="inlineStr">
        <is>
          <t>Application Software</t>
        </is>
      </c>
      <c r="J16" s="148" t="inlineStr">
        <is>
          <t>Application Software*; Human Capital Services; Other Services (B2C Non-Financial)</t>
        </is>
      </c>
      <c r="K16" s="149" t="inlineStr">
        <is>
          <t>Mobile</t>
        </is>
      </c>
      <c r="L16" s="150" t="inlineStr">
        <is>
          <t>Venture Capital-Backed</t>
        </is>
      </c>
      <c r="M16" s="151" t="n">
        <v>0.58</v>
      </c>
      <c r="N16" s="152" t="inlineStr">
        <is>
          <t>Generating Revenue</t>
        </is>
      </c>
      <c r="O16" s="153" t="inlineStr">
        <is>
          <t>Privately Held (backing)</t>
        </is>
      </c>
      <c r="P16" s="154" t="inlineStr">
        <is>
          <t>Venture Capital</t>
        </is>
      </c>
      <c r="Q16" s="155" t="inlineStr">
        <is>
          <t>papajobs.ru</t>
        </is>
      </c>
      <c r="R16" s="156" t="inlineStr">
        <is>
          <t/>
        </is>
      </c>
      <c r="S16" s="157" t="inlineStr">
        <is>
          <t/>
        </is>
      </c>
      <c r="T16" s="158" t="inlineStr">
        <is>
          <t/>
        </is>
      </c>
      <c r="U16" s="159" t="inlineStr">
        <is>
          <t/>
        </is>
      </c>
      <c r="V16" s="160" t="inlineStr">
        <is>
          <t/>
        </is>
      </c>
      <c r="W16" s="161" t="inlineStr">
        <is>
          <t/>
        </is>
      </c>
      <c r="X16" s="162" t="inlineStr">
        <is>
          <t/>
        </is>
      </c>
      <c r="Y16" s="163" t="inlineStr">
        <is>
          <t/>
        </is>
      </c>
      <c r="Z16" s="164" t="inlineStr">
        <is>
          <t/>
        </is>
      </c>
      <c r="AA16" s="165" t="inlineStr">
        <is>
          <t/>
        </is>
      </c>
      <c r="AB16" s="166" t="inlineStr">
        <is>
          <t/>
        </is>
      </c>
      <c r="AC16" s="167" t="inlineStr">
        <is>
          <t/>
        </is>
      </c>
      <c r="AD16" s="168" t="inlineStr">
        <is>
          <t/>
        </is>
      </c>
      <c r="AE16" s="169" t="inlineStr">
        <is>
          <t>136093-51P</t>
        </is>
      </c>
      <c r="AF16" s="170" t="inlineStr">
        <is>
          <t>Vitaly Krylov</t>
        </is>
      </c>
      <c r="AG16" s="171" t="inlineStr">
        <is>
          <t>Founder</t>
        </is>
      </c>
      <c r="AH16" s="172" t="inlineStr">
        <is>
          <t>vitaly@gett.com</t>
        </is>
      </c>
      <c r="AI16" s="173" t="inlineStr">
        <is>
          <t>+972 (0)3 644 8299</t>
        </is>
      </c>
      <c r="AJ16" s="174" t="inlineStr">
        <is>
          <t>Moscow, Russia</t>
        </is>
      </c>
      <c r="AK16" s="175" t="inlineStr">
        <is>
          <t>3 floor, room 16</t>
        </is>
      </c>
      <c r="AL16" s="176" t="inlineStr">
        <is>
          <t>Building 4, premise 1, Nizhny Susalny pereulok</t>
        </is>
      </c>
      <c r="AM16" s="177" t="inlineStr">
        <is>
          <t>Moscow</t>
        </is>
      </c>
      <c r="AN16" s="178" t="inlineStr">
        <is>
          <t/>
        </is>
      </c>
      <c r="AO16" s="179" t="inlineStr">
        <is>
          <t>105064</t>
        </is>
      </c>
      <c r="AP16" s="180" t="inlineStr">
        <is>
          <t>Russia</t>
        </is>
      </c>
      <c r="AQ16" s="181" t="inlineStr">
        <is>
          <t>+7 (8)985 891 1314</t>
        </is>
      </c>
      <c r="AR16" s="182" t="inlineStr">
        <is>
          <t/>
        </is>
      </c>
      <c r="AS16" s="183" t="inlineStr">
        <is>
          <t>info@papajobs.ru</t>
        </is>
      </c>
      <c r="AT16" s="184" t="inlineStr">
        <is>
          <t>Europe</t>
        </is>
      </c>
      <c r="AU16" s="185" t="inlineStr">
        <is>
          <t>Eastern Europe</t>
        </is>
      </c>
      <c r="AV16" s="186" t="inlineStr">
        <is>
          <t>The company raised RUB 40 million of Seed funding led by Some Random VC Fund on September 28, 2017. Alexey Marey, Tatyana Ignatochkina, Philip Minchin and Dmitry Peshnev-Podolsky also participated in the round.</t>
        </is>
      </c>
      <c r="AW16" s="187" t="inlineStr">
        <is>
          <t>Alekseya Mareya, Dmitry Peshneva-Podolsky, Philip Minchin, Preqveca, Tatiana Ignatochkina</t>
        </is>
      </c>
      <c r="AX16" s="188" t="n">
        <v>5.0</v>
      </c>
      <c r="AY16" s="189" t="inlineStr">
        <is>
          <t/>
        </is>
      </c>
      <c r="AZ16" s="190" t="inlineStr">
        <is>
          <t/>
        </is>
      </c>
      <c r="BA16" s="191" t="inlineStr">
        <is>
          <t/>
        </is>
      </c>
      <c r="BB16" s="192" t="inlineStr">
        <is>
          <t>Preqveca (www.preqveca.ru)</t>
        </is>
      </c>
      <c r="BC16" s="193" t="inlineStr">
        <is>
          <t/>
        </is>
      </c>
      <c r="BD16" s="194" t="inlineStr">
        <is>
          <t/>
        </is>
      </c>
      <c r="BE16" s="195" t="inlineStr">
        <is>
          <t/>
        </is>
      </c>
      <c r="BF16" s="196" t="inlineStr">
        <is>
          <t/>
        </is>
      </c>
      <c r="BG16" s="197" t="n">
        <v>43006.0</v>
      </c>
      <c r="BH16" s="198" t="n">
        <v>0.58</v>
      </c>
      <c r="BI16" s="199" t="inlineStr">
        <is>
          <t>Actual</t>
        </is>
      </c>
      <c r="BJ16" s="200" t="inlineStr">
        <is>
          <t/>
        </is>
      </c>
      <c r="BK16" s="201" t="inlineStr">
        <is>
          <t/>
        </is>
      </c>
      <c r="BL16" s="202" t="inlineStr">
        <is>
          <t>Seed Round</t>
        </is>
      </c>
      <c r="BM16" s="203" t="inlineStr">
        <is>
          <t>Seed</t>
        </is>
      </c>
      <c r="BN16" s="204" t="inlineStr">
        <is>
          <t/>
        </is>
      </c>
      <c r="BO16" s="205" t="inlineStr">
        <is>
          <t>Venture Capital</t>
        </is>
      </c>
      <c r="BP16" s="206" t="inlineStr">
        <is>
          <t/>
        </is>
      </c>
      <c r="BQ16" s="207" t="inlineStr">
        <is>
          <t/>
        </is>
      </c>
      <c r="BR16" s="208" t="inlineStr">
        <is>
          <t/>
        </is>
      </c>
      <c r="BS16" s="209" t="inlineStr">
        <is>
          <t>Completed</t>
        </is>
      </c>
      <c r="BT16" s="210" t="n">
        <v>43006.0</v>
      </c>
      <c r="BU16" s="211" t="n">
        <v>0.58</v>
      </c>
      <c r="BV16" s="212" t="inlineStr">
        <is>
          <t>Actual</t>
        </is>
      </c>
      <c r="BW16" s="213" t="inlineStr">
        <is>
          <t/>
        </is>
      </c>
      <c r="BX16" s="214" t="inlineStr">
        <is>
          <t/>
        </is>
      </c>
      <c r="BY16" s="215" t="inlineStr">
        <is>
          <t>Seed Round</t>
        </is>
      </c>
      <c r="BZ16" s="216" t="inlineStr">
        <is>
          <t>Seed</t>
        </is>
      </c>
      <c r="CA16" s="217" t="inlineStr">
        <is>
          <t/>
        </is>
      </c>
      <c r="CB16" s="218" t="inlineStr">
        <is>
          <t>Venture Capital</t>
        </is>
      </c>
      <c r="CC16" s="219" t="inlineStr">
        <is>
          <t/>
        </is>
      </c>
      <c r="CD16" s="220" t="inlineStr">
        <is>
          <t/>
        </is>
      </c>
      <c r="CE16" s="221" t="inlineStr">
        <is>
          <t/>
        </is>
      </c>
      <c r="CF16" s="222" t="inlineStr">
        <is>
          <t>Completed</t>
        </is>
      </c>
      <c r="CG16" s="223" t="inlineStr">
        <is>
          <t/>
        </is>
      </c>
      <c r="CH16" s="224" t="inlineStr">
        <is>
          <t/>
        </is>
      </c>
      <c r="CI16" s="225" t="inlineStr">
        <is>
          <t/>
        </is>
      </c>
      <c r="CJ16" s="226" t="inlineStr">
        <is>
          <t/>
        </is>
      </c>
      <c r="CK16" s="227" t="inlineStr">
        <is>
          <t/>
        </is>
      </c>
      <c r="CL16" s="228" t="inlineStr">
        <is>
          <t/>
        </is>
      </c>
      <c r="CM16" s="229" t="inlineStr">
        <is>
          <t/>
        </is>
      </c>
      <c r="CN16" s="230" t="inlineStr">
        <is>
          <t/>
        </is>
      </c>
      <c r="CO16" s="231" t="inlineStr">
        <is>
          <t/>
        </is>
      </c>
      <c r="CP16" s="232" t="inlineStr">
        <is>
          <t/>
        </is>
      </c>
      <c r="CQ16" s="233" t="inlineStr">
        <is>
          <t/>
        </is>
      </c>
      <c r="CR16" s="234" t="inlineStr">
        <is>
          <t/>
        </is>
      </c>
      <c r="CS16" s="235" t="inlineStr">
        <is>
          <t/>
        </is>
      </c>
      <c r="CT16" s="236" t="inlineStr">
        <is>
          <t/>
        </is>
      </c>
      <c r="CU16" s="237" t="inlineStr">
        <is>
          <t/>
        </is>
      </c>
      <c r="CV16" s="238" t="inlineStr">
        <is>
          <t/>
        </is>
      </c>
      <c r="CW16" s="239" t="inlineStr">
        <is>
          <t/>
        </is>
      </c>
      <c r="CX16" s="240" t="inlineStr">
        <is>
          <t/>
        </is>
      </c>
      <c r="CY16" s="241" t="inlineStr">
        <is>
          <t/>
        </is>
      </c>
      <c r="CZ16" s="242" t="inlineStr">
        <is>
          <t/>
        </is>
      </c>
      <c r="DA16" s="243" t="inlineStr">
        <is>
          <t/>
        </is>
      </c>
      <c r="DB16" s="244" t="inlineStr">
        <is>
          <t/>
        </is>
      </c>
      <c r="DC16" s="245" t="inlineStr">
        <is>
          <t/>
        </is>
      </c>
      <c r="DD16" s="246" t="inlineStr">
        <is>
          <t/>
        </is>
      </c>
      <c r="DE16" s="247" t="inlineStr">
        <is>
          <t/>
        </is>
      </c>
      <c r="DF16" s="248" t="inlineStr">
        <is>
          <t/>
        </is>
      </c>
      <c r="DG16" s="249" t="inlineStr">
        <is>
          <t/>
        </is>
      </c>
      <c r="DH16" s="250" t="inlineStr">
        <is>
          <t/>
        </is>
      </c>
      <c r="DI16" s="251" t="inlineStr">
        <is>
          <t/>
        </is>
      </c>
      <c r="DJ16" s="252" t="inlineStr">
        <is>
          <t/>
        </is>
      </c>
      <c r="DK16" s="253" t="inlineStr">
        <is>
          <t/>
        </is>
      </c>
      <c r="DL16" s="254" t="inlineStr">
        <is>
          <t/>
        </is>
      </c>
      <c r="DM16" s="255" t="inlineStr">
        <is>
          <t/>
        </is>
      </c>
      <c r="DN16" s="256" t="inlineStr">
        <is>
          <t/>
        </is>
      </c>
      <c r="DO16" s="257" t="inlineStr">
        <is>
          <t/>
        </is>
      </c>
      <c r="DP16" s="258" t="inlineStr">
        <is>
          <t/>
        </is>
      </c>
      <c r="DQ16" s="259" t="inlineStr">
        <is>
          <t/>
        </is>
      </c>
      <c r="DR16" s="260" t="inlineStr">
        <is>
          <t/>
        </is>
      </c>
      <c r="DS16" s="261" t="inlineStr">
        <is>
          <t/>
        </is>
      </c>
      <c r="DT16" s="262" t="inlineStr">
        <is>
          <t/>
        </is>
      </c>
      <c r="DU16" s="263" t="inlineStr">
        <is>
          <t/>
        </is>
      </c>
      <c r="DV16" s="264" t="inlineStr">
        <is>
          <t/>
        </is>
      </c>
      <c r="DW16" s="265" t="inlineStr">
        <is>
          <t/>
        </is>
      </c>
      <c r="DX16" s="266" t="inlineStr">
        <is>
          <t/>
        </is>
      </c>
      <c r="DY16" s="267" t="inlineStr">
        <is>
          <t>PitchBook Research</t>
        </is>
      </c>
      <c r="DZ16" s="786">
        <f>HYPERLINK("https://my.pitchbook.com?c=187436-26", "View company online")</f>
      </c>
    </row>
    <row r="17">
      <c r="A17" s="9" t="inlineStr">
        <is>
          <t>180287-38</t>
        </is>
      </c>
      <c r="B17" s="10" t="inlineStr">
        <is>
          <t>Piccolo Foods</t>
        </is>
      </c>
      <c r="C17" s="11" t="inlineStr">
        <is>
          <t/>
        </is>
      </c>
      <c r="D17" s="12" t="inlineStr">
        <is>
          <t>Piccolo</t>
        </is>
      </c>
      <c r="E17" s="13" t="inlineStr">
        <is>
          <t>180287-38</t>
        </is>
      </c>
      <c r="F17" s="14" t="inlineStr">
        <is>
          <t>Provider of organic baby food intended to make fruit and vegetable purées based on a Mediterranean diet. The company's recipe involves high consumption of olive oil, legumes, fruits and vegetables and low consumption of meat, enabling parents to provide their babies and infants with the right choice of nutrition.</t>
        </is>
      </c>
      <c r="G17" s="15" t="inlineStr">
        <is>
          <t>Consumer Products and Services (B2C)</t>
        </is>
      </c>
      <c r="H17" s="16" t="inlineStr">
        <is>
          <t>Consumer Non-Durables</t>
        </is>
      </c>
      <c r="I17" s="17" t="inlineStr">
        <is>
          <t>Food Products</t>
        </is>
      </c>
      <c r="J17" s="18" t="inlineStr">
        <is>
          <t>Food Products*</t>
        </is>
      </c>
      <c r="K17" s="19" t="inlineStr">
        <is>
          <t>LOHAS &amp; Wellness</t>
        </is>
      </c>
      <c r="L17" s="20" t="inlineStr">
        <is>
          <t>Angel-Backed</t>
        </is>
      </c>
      <c r="M17" s="21" t="n">
        <v>0.62</v>
      </c>
      <c r="N17" s="22" t="inlineStr">
        <is>
          <t>Generating Revenue</t>
        </is>
      </c>
      <c r="O17" s="23" t="inlineStr">
        <is>
          <t>Privately Held (backing)</t>
        </is>
      </c>
      <c r="P17" s="24" t="inlineStr">
        <is>
          <t>Pre-venture</t>
        </is>
      </c>
      <c r="Q17" s="25" t="inlineStr">
        <is>
          <t>www.mylittlepiccolo.com</t>
        </is>
      </c>
      <c r="R17" s="26" t="n">
        <v>7.0</v>
      </c>
      <c r="S17" s="27" t="inlineStr">
        <is>
          <t/>
        </is>
      </c>
      <c r="T17" s="28" t="inlineStr">
        <is>
          <t/>
        </is>
      </c>
      <c r="U17" s="29" t="n">
        <v>2014.0</v>
      </c>
      <c r="V17" s="30" t="inlineStr">
        <is>
          <t/>
        </is>
      </c>
      <c r="W17" s="31" t="inlineStr">
        <is>
          <t/>
        </is>
      </c>
      <c r="X17" s="32" t="inlineStr">
        <is>
          <t/>
        </is>
      </c>
      <c r="Y17" s="33" t="n">
        <v>4.3543</v>
      </c>
      <c r="Z17" s="34" t="inlineStr">
        <is>
          <t/>
        </is>
      </c>
      <c r="AA17" s="35" t="inlineStr">
        <is>
          <t/>
        </is>
      </c>
      <c r="AB17" s="36" t="inlineStr">
        <is>
          <t/>
        </is>
      </c>
      <c r="AC17" s="37" t="inlineStr">
        <is>
          <t/>
        </is>
      </c>
      <c r="AD17" s="38" t="inlineStr">
        <is>
          <t>FY 2017</t>
        </is>
      </c>
      <c r="AE17" s="39" t="inlineStr">
        <is>
          <t>161986-60P</t>
        </is>
      </c>
      <c r="AF17" s="40" t="inlineStr">
        <is>
          <t>Catherine Gazzoli</t>
        </is>
      </c>
      <c r="AG17" s="41" t="inlineStr">
        <is>
          <t>Founder &amp; Chief Executive Officer</t>
        </is>
      </c>
      <c r="AH17" s="42" t="inlineStr">
        <is>
          <t>cat@piccolofoods.uk</t>
        </is>
      </c>
      <c r="AI17" s="43" t="inlineStr">
        <is>
          <t>+44 (0)20 8050 3202</t>
        </is>
      </c>
      <c r="AJ17" s="44" t="inlineStr">
        <is>
          <t>London, United Kingdom</t>
        </is>
      </c>
      <c r="AK17" s="45" t="inlineStr">
        <is>
          <t>Casa Piccolo, Adam Street</t>
        </is>
      </c>
      <c r="AL17" s="46" t="inlineStr">
        <is>
          <t>Adam House 7-10</t>
        </is>
      </c>
      <c r="AM17" s="47" t="inlineStr">
        <is>
          <t>London</t>
        </is>
      </c>
      <c r="AN17" s="48" t="inlineStr">
        <is>
          <t>England</t>
        </is>
      </c>
      <c r="AO17" s="49" t="inlineStr">
        <is>
          <t>WC2N 6AA</t>
        </is>
      </c>
      <c r="AP17" s="50" t="inlineStr">
        <is>
          <t>United Kingdom</t>
        </is>
      </c>
      <c r="AQ17" s="51" t="inlineStr">
        <is>
          <t>+44 (0)20 8050 3202</t>
        </is>
      </c>
      <c r="AR17" s="52" t="inlineStr">
        <is>
          <t/>
        </is>
      </c>
      <c r="AS17" s="53" t="inlineStr">
        <is>
          <t>info@piccolofoods.uk</t>
        </is>
      </c>
      <c r="AT17" s="54" t="inlineStr">
        <is>
          <t>Europe</t>
        </is>
      </c>
      <c r="AU17" s="55" t="inlineStr">
        <is>
          <t>Western Europe</t>
        </is>
      </c>
      <c r="AV17" s="56" t="inlineStr">
        <is>
          <t>The company raised GBP 500,000 of angel funding from Deepak Shahdadpuri on November 5, 2017. The funds will be used for expansion outside of Britain and Europe. Previously, the company raised GBP 50,974 of angel funding via crowdfunding platform Allbright on April 24, 2017, putting the company's pre-money valuation at GBP 7.44 million. It has raised a total of GBP 1.5 million in funding to date.</t>
        </is>
      </c>
      <c r="AW17" s="57" t="inlineStr">
        <is>
          <t>Craig Sams, Deepak Shahdadpuri, Mark Angela, Prue Leith</t>
        </is>
      </c>
      <c r="AX17" s="58" t="n">
        <v>4.0</v>
      </c>
      <c r="AY17" s="59" t="inlineStr">
        <is>
          <t/>
        </is>
      </c>
      <c r="AZ17" s="60" t="inlineStr">
        <is>
          <t/>
        </is>
      </c>
      <c r="BA17" s="61" t="inlineStr">
        <is>
          <t/>
        </is>
      </c>
      <c r="BB17" s="62" t="inlineStr">
        <is>
          <t/>
        </is>
      </c>
      <c r="BC17" s="63" t="inlineStr">
        <is>
          <t/>
        </is>
      </c>
      <c r="BD17" s="64" t="inlineStr">
        <is>
          <t/>
        </is>
      </c>
      <c r="BE17" s="65" t="inlineStr">
        <is>
          <t/>
        </is>
      </c>
      <c r="BF17" s="66" t="inlineStr">
        <is>
          <t>AllBright (Lead Manager or Arranger)</t>
        </is>
      </c>
      <c r="BG17" s="67" t="n">
        <v>42849.0</v>
      </c>
      <c r="BH17" s="68" t="n">
        <v>0.06</v>
      </c>
      <c r="BI17" s="69" t="inlineStr">
        <is>
          <t>Actual</t>
        </is>
      </c>
      <c r="BJ17" s="70" t="n">
        <v>8.84</v>
      </c>
      <c r="BK17" s="71" t="inlineStr">
        <is>
          <t>Actual</t>
        </is>
      </c>
      <c r="BL17" s="72" t="inlineStr">
        <is>
          <t>Angel (individual)</t>
        </is>
      </c>
      <c r="BM17" s="73" t="inlineStr">
        <is>
          <t>Angel</t>
        </is>
      </c>
      <c r="BN17" s="74" t="inlineStr">
        <is>
          <t/>
        </is>
      </c>
      <c r="BO17" s="75" t="inlineStr">
        <is>
          <t>Individual</t>
        </is>
      </c>
      <c r="BP17" s="76" t="inlineStr">
        <is>
          <t/>
        </is>
      </c>
      <c r="BQ17" s="77" t="inlineStr">
        <is>
          <t/>
        </is>
      </c>
      <c r="BR17" s="78" t="inlineStr">
        <is>
          <t/>
        </is>
      </c>
      <c r="BS17" s="79" t="inlineStr">
        <is>
          <t>Completed</t>
        </is>
      </c>
      <c r="BT17" s="80" t="n">
        <v>43044.0</v>
      </c>
      <c r="BU17" s="81" t="n">
        <v>0.56</v>
      </c>
      <c r="BV17" s="82" t="inlineStr">
        <is>
          <t>Actual</t>
        </is>
      </c>
      <c r="BW17" s="83" t="inlineStr">
        <is>
          <t/>
        </is>
      </c>
      <c r="BX17" s="84" t="inlineStr">
        <is>
          <t/>
        </is>
      </c>
      <c r="BY17" s="85" t="inlineStr">
        <is>
          <t>Angel (individual)</t>
        </is>
      </c>
      <c r="BZ17" s="86" t="inlineStr">
        <is>
          <t>Angel</t>
        </is>
      </c>
      <c r="CA17" s="87" t="inlineStr">
        <is>
          <t/>
        </is>
      </c>
      <c r="CB17" s="88" t="inlineStr">
        <is>
          <t>Individual</t>
        </is>
      </c>
      <c r="CC17" s="89" t="inlineStr">
        <is>
          <t/>
        </is>
      </c>
      <c r="CD17" s="90" t="inlineStr">
        <is>
          <t/>
        </is>
      </c>
      <c r="CE17" s="91" t="inlineStr">
        <is>
          <t/>
        </is>
      </c>
      <c r="CF17" s="92" t="inlineStr">
        <is>
          <t>Completed</t>
        </is>
      </c>
      <c r="CG17" s="93" t="inlineStr">
        <is>
          <t>0,28%</t>
        </is>
      </c>
      <c r="CH17" s="94" t="inlineStr">
        <is>
          <t>89</t>
        </is>
      </c>
      <c r="CI17" s="95" t="inlineStr">
        <is>
          <t>-0,08%</t>
        </is>
      </c>
      <c r="CJ17" s="96" t="inlineStr">
        <is>
          <t>-21,84%</t>
        </is>
      </c>
      <c r="CK17" s="97" t="inlineStr">
        <is>
          <t>-0,10%</t>
        </is>
      </c>
      <c r="CL17" s="98" t="inlineStr">
        <is>
          <t>28</t>
        </is>
      </c>
      <c r="CM17" s="99" t="inlineStr">
        <is>
          <t>0,67%</t>
        </is>
      </c>
      <c r="CN17" s="100" t="inlineStr">
        <is>
          <t>92</t>
        </is>
      </c>
      <c r="CO17" s="101" t="inlineStr">
        <is>
          <t>-1,01%</t>
        </is>
      </c>
      <c r="CP17" s="102" t="inlineStr">
        <is>
          <t>33</t>
        </is>
      </c>
      <c r="CQ17" s="103" t="inlineStr">
        <is>
          <t>0,81%</t>
        </is>
      </c>
      <c r="CR17" s="104" t="inlineStr">
        <is>
          <t>93</t>
        </is>
      </c>
      <c r="CS17" s="105" t="inlineStr">
        <is>
          <t>0,68%</t>
        </is>
      </c>
      <c r="CT17" s="106" t="inlineStr">
        <is>
          <t>91</t>
        </is>
      </c>
      <c r="CU17" s="107" t="inlineStr">
        <is>
          <t>0,65%</t>
        </is>
      </c>
      <c r="CV17" s="108" t="inlineStr">
        <is>
          <t>94</t>
        </is>
      </c>
      <c r="CW17" s="109" t="inlineStr">
        <is>
          <t>13,83x</t>
        </is>
      </c>
      <c r="CX17" s="110" t="inlineStr">
        <is>
          <t>90</t>
        </is>
      </c>
      <c r="CY17" s="111" t="inlineStr">
        <is>
          <t>-0,10x</t>
        </is>
      </c>
      <c r="CZ17" s="112" t="inlineStr">
        <is>
          <t>-0,74%</t>
        </is>
      </c>
      <c r="DA17" s="113" t="inlineStr">
        <is>
          <t>4,11x</t>
        </is>
      </c>
      <c r="DB17" s="114" t="inlineStr">
        <is>
          <t>78</t>
        </is>
      </c>
      <c r="DC17" s="115" t="inlineStr">
        <is>
          <t>23,55x</t>
        </is>
      </c>
      <c r="DD17" s="116" t="inlineStr">
        <is>
          <t>91</t>
        </is>
      </c>
      <c r="DE17" s="117" t="inlineStr">
        <is>
          <t>3,29x</t>
        </is>
      </c>
      <c r="DF17" s="118" t="inlineStr">
        <is>
          <t>75</t>
        </is>
      </c>
      <c r="DG17" s="119" t="inlineStr">
        <is>
          <t>4,92x</t>
        </is>
      </c>
      <c r="DH17" s="120" t="inlineStr">
        <is>
          <t>79</t>
        </is>
      </c>
      <c r="DI17" s="121" t="inlineStr">
        <is>
          <t>36,60x</t>
        </is>
      </c>
      <c r="DJ17" s="122" t="inlineStr">
        <is>
          <t>91</t>
        </is>
      </c>
      <c r="DK17" s="123" t="inlineStr">
        <is>
          <t>10,50x</t>
        </is>
      </c>
      <c r="DL17" s="124" t="inlineStr">
        <is>
          <t>87</t>
        </is>
      </c>
      <c r="DM17" s="125" t="inlineStr">
        <is>
          <t>1.202</t>
        </is>
      </c>
      <c r="DN17" s="126" t="inlineStr">
        <is>
          <t>59</t>
        </is>
      </c>
      <c r="DO17" s="127" t="inlineStr">
        <is>
          <t>5,16%</t>
        </is>
      </c>
      <c r="DP17" s="128" t="inlineStr">
        <is>
          <t>28.978</t>
        </is>
      </c>
      <c r="DQ17" s="129" t="inlineStr">
        <is>
          <t>9</t>
        </is>
      </c>
      <c r="DR17" s="130" t="inlineStr">
        <is>
          <t>0,03%</t>
        </is>
      </c>
      <c r="DS17" s="131" t="inlineStr">
        <is>
          <t>177</t>
        </is>
      </c>
      <c r="DT17" s="132" t="inlineStr">
        <is>
          <t>0</t>
        </is>
      </c>
      <c r="DU17" s="133" t="inlineStr">
        <is>
          <t>0,00%</t>
        </is>
      </c>
      <c r="DV17" s="134" t="inlineStr">
        <is>
          <t>3.927</t>
        </is>
      </c>
      <c r="DW17" s="135" t="inlineStr">
        <is>
          <t>-4</t>
        </is>
      </c>
      <c r="DX17" s="136" t="inlineStr">
        <is>
          <t>-0,10%</t>
        </is>
      </c>
      <c r="DY17" s="137" t="inlineStr">
        <is>
          <t>PitchBook Research</t>
        </is>
      </c>
      <c r="DZ17" s="785">
        <f>HYPERLINK("https://my.pitchbook.com?c=180287-38", "View company online")</f>
      </c>
    </row>
    <row r="18">
      <c r="A18" s="139" t="inlineStr">
        <is>
          <t>179598-97</t>
        </is>
      </c>
      <c r="B18" s="140" t="inlineStr">
        <is>
          <t>Factmata</t>
        </is>
      </c>
      <c r="C18" s="141" t="inlineStr">
        <is>
          <t/>
        </is>
      </c>
      <c r="D18" s="142" t="inlineStr">
        <is>
          <t/>
        </is>
      </c>
      <c r="E18" s="143" t="inlineStr">
        <is>
          <t>179598-97</t>
        </is>
      </c>
      <c r="F18" s="144" t="inlineStr">
        <is>
          <t>Developer of an automated statistical fact checking system designed to protect people from misleading information. The company's automated statistical fact checking system uses artificial intelligence and natural language processing to offer automated detection of fake news, rumours, promises and hoaxes, enabling people to identify fallible claims and reduce social and political problems.</t>
        </is>
      </c>
      <c r="G18" s="145" t="inlineStr">
        <is>
          <t>Information Technology</t>
        </is>
      </c>
      <c r="H18" s="146" t="inlineStr">
        <is>
          <t>Software</t>
        </is>
      </c>
      <c r="I18" s="147" t="inlineStr">
        <is>
          <t>Business/Productivity Software</t>
        </is>
      </c>
      <c r="J18" s="148" t="inlineStr">
        <is>
          <t>Business/Productivity Software*</t>
        </is>
      </c>
      <c r="K18" s="149" t="inlineStr">
        <is>
          <t>Artificial Intelligence &amp; Machine Learning, Big Data</t>
        </is>
      </c>
      <c r="L18" s="150" t="inlineStr">
        <is>
          <t>Angel-Backed</t>
        </is>
      </c>
      <c r="M18" s="151" t="n">
        <v>0.63</v>
      </c>
      <c r="N18" s="152" t="inlineStr">
        <is>
          <t>Startup</t>
        </is>
      </c>
      <c r="O18" s="153" t="inlineStr">
        <is>
          <t>Privately Held (backing)</t>
        </is>
      </c>
      <c r="P18" s="154" t="inlineStr">
        <is>
          <t>Pre-venture</t>
        </is>
      </c>
      <c r="Q18" s="155" t="inlineStr">
        <is>
          <t>www.factmata.com</t>
        </is>
      </c>
      <c r="R18" s="156" t="n">
        <v>4.0</v>
      </c>
      <c r="S18" s="157" t="inlineStr">
        <is>
          <t/>
        </is>
      </c>
      <c r="T18" s="158" t="inlineStr">
        <is>
          <t/>
        </is>
      </c>
      <c r="U18" s="159" t="inlineStr">
        <is>
          <t/>
        </is>
      </c>
      <c r="V18" s="160" t="inlineStr">
        <is>
          <t/>
        </is>
      </c>
      <c r="W18" s="161" t="inlineStr">
        <is>
          <t/>
        </is>
      </c>
      <c r="X18" s="162" t="inlineStr">
        <is>
          <t/>
        </is>
      </c>
      <c r="Y18" s="163" t="inlineStr">
        <is>
          <t/>
        </is>
      </c>
      <c r="Z18" s="164" t="inlineStr">
        <is>
          <t/>
        </is>
      </c>
      <c r="AA18" s="165" t="inlineStr">
        <is>
          <t/>
        </is>
      </c>
      <c r="AB18" s="166" t="inlineStr">
        <is>
          <t/>
        </is>
      </c>
      <c r="AC18" s="167" t="inlineStr">
        <is>
          <t/>
        </is>
      </c>
      <c r="AD18" s="168" t="inlineStr">
        <is>
          <t/>
        </is>
      </c>
      <c r="AE18" s="169" t="inlineStr">
        <is>
          <t>145434-43P</t>
        </is>
      </c>
      <c r="AF18" s="170" t="inlineStr">
        <is>
          <t>Dhruv Ghulati</t>
        </is>
      </c>
      <c r="AG18" s="171" t="inlineStr">
        <is>
          <t>Co-Founder, Board Member, Research Scientist &amp; Chief Executive Officer</t>
        </is>
      </c>
      <c r="AH18" s="172" t="inlineStr">
        <is>
          <t>dhruv.ghulati@factmata.com</t>
        </is>
      </c>
      <c r="AI18" s="173" t="inlineStr">
        <is>
          <t>+44 (0)77 8625 6893</t>
        </is>
      </c>
      <c r="AJ18" s="174" t="inlineStr">
        <is>
          <t>London, United Kingdom</t>
        </is>
      </c>
      <c r="AK18" s="175" t="inlineStr">
        <is>
          <t>Dock Offices, Unit 18</t>
        </is>
      </c>
      <c r="AL18" s="176" t="inlineStr">
        <is>
          <t>Surrey Quays Road</t>
        </is>
      </c>
      <c r="AM18" s="177" t="inlineStr">
        <is>
          <t>London</t>
        </is>
      </c>
      <c r="AN18" s="178" t="inlineStr">
        <is>
          <t>England</t>
        </is>
      </c>
      <c r="AO18" s="179" t="inlineStr">
        <is>
          <t>SE16 2XU</t>
        </is>
      </c>
      <c r="AP18" s="180" t="inlineStr">
        <is>
          <t>United Kingdom</t>
        </is>
      </c>
      <c r="AQ18" s="181" t="inlineStr">
        <is>
          <t>+44 (0)77 8625 6893</t>
        </is>
      </c>
      <c r="AR18" s="182" t="inlineStr">
        <is>
          <t/>
        </is>
      </c>
      <c r="AS18" s="183" t="inlineStr">
        <is>
          <t>info@factmata.com</t>
        </is>
      </c>
      <c r="AT18" s="184" t="inlineStr">
        <is>
          <t>Europe</t>
        </is>
      </c>
      <c r="AU18" s="185" t="inlineStr">
        <is>
          <t>Western Europe</t>
        </is>
      </c>
      <c r="AV18" s="186" t="inlineStr">
        <is>
          <t>The company raised $ 750,000 of seed funding from led by Mark Cuban on September 10, 2017. Mark Pincus, Ross Mason and Sunil Paul. The company intends to use the funds to continue building a full-scale platform which uses artificial intelligence to help readers uncover additional context, score information for quality and debate content validity. Previously, the company raised GBP 50,000 of seed funding from Google Cloud Platform on January 21, 2017. The company received EUR 50,000 of prize money from Alphabet on November 17, 2016.</t>
        </is>
      </c>
      <c r="AW18" s="187" t="inlineStr">
        <is>
          <t>Alphabet, Mark Cuban, Mark Pincus, Ross Mason, Sunil Paul</t>
        </is>
      </c>
      <c r="AX18" s="188" t="n">
        <v>5.0</v>
      </c>
      <c r="AY18" s="189" t="inlineStr">
        <is>
          <t/>
        </is>
      </c>
      <c r="AZ18" s="190" t="inlineStr">
        <is>
          <t/>
        </is>
      </c>
      <c r="BA18" s="191" t="inlineStr">
        <is>
          <t/>
        </is>
      </c>
      <c r="BB18" s="192" t="inlineStr">
        <is>
          <t>Alphabet (www.google.com)</t>
        </is>
      </c>
      <c r="BC18" s="193" t="inlineStr">
        <is>
          <t/>
        </is>
      </c>
      <c r="BD18" s="194" t="inlineStr">
        <is>
          <t/>
        </is>
      </c>
      <c r="BE18" s="195" t="inlineStr">
        <is>
          <t>Orrick, Herrington &amp; Sutcliffe (Legal Advisor)</t>
        </is>
      </c>
      <c r="BF18" s="196" t="inlineStr">
        <is>
          <t>Orrick, Herrington &amp; Sutcliffe (Legal Advisor)</t>
        </is>
      </c>
      <c r="BG18" s="197" t="inlineStr">
        <is>
          <t/>
        </is>
      </c>
      <c r="BH18" s="198" t="inlineStr">
        <is>
          <t/>
        </is>
      </c>
      <c r="BI18" s="199" t="inlineStr">
        <is>
          <t/>
        </is>
      </c>
      <c r="BJ18" s="200" t="inlineStr">
        <is>
          <t/>
        </is>
      </c>
      <c r="BK18" s="201" t="inlineStr">
        <is>
          <t/>
        </is>
      </c>
      <c r="BL18" s="202" t="inlineStr">
        <is>
          <t>Angel (individual)</t>
        </is>
      </c>
      <c r="BM18" s="203" t="inlineStr">
        <is>
          <t>Angel</t>
        </is>
      </c>
      <c r="BN18" s="204" t="inlineStr">
        <is>
          <t/>
        </is>
      </c>
      <c r="BO18" s="205" t="inlineStr">
        <is>
          <t>Individual</t>
        </is>
      </c>
      <c r="BP18" s="206" t="inlineStr">
        <is>
          <t/>
        </is>
      </c>
      <c r="BQ18" s="207" t="inlineStr">
        <is>
          <t/>
        </is>
      </c>
      <c r="BR18" s="208" t="inlineStr">
        <is>
          <t/>
        </is>
      </c>
      <c r="BS18" s="209" t="inlineStr">
        <is>
          <t>Completed</t>
        </is>
      </c>
      <c r="BT18" s="210" t="n">
        <v>42988.0</v>
      </c>
      <c r="BU18" s="211" t="n">
        <v>0.63</v>
      </c>
      <c r="BV18" s="212" t="inlineStr">
        <is>
          <t>Actual</t>
        </is>
      </c>
      <c r="BW18" s="213" t="inlineStr">
        <is>
          <t/>
        </is>
      </c>
      <c r="BX18" s="214" t="inlineStr">
        <is>
          <t/>
        </is>
      </c>
      <c r="BY18" s="215" t="inlineStr">
        <is>
          <t>Seed Round</t>
        </is>
      </c>
      <c r="BZ18" s="216" t="inlineStr">
        <is>
          <t>Seed</t>
        </is>
      </c>
      <c r="CA18" s="217" t="inlineStr">
        <is>
          <t/>
        </is>
      </c>
      <c r="CB18" s="218" t="inlineStr">
        <is>
          <t>Individual</t>
        </is>
      </c>
      <c r="CC18" s="219" t="inlineStr">
        <is>
          <t/>
        </is>
      </c>
      <c r="CD18" s="220" t="inlineStr">
        <is>
          <t/>
        </is>
      </c>
      <c r="CE18" s="221" t="inlineStr">
        <is>
          <t/>
        </is>
      </c>
      <c r="CF18" s="222" t="inlineStr">
        <is>
          <t>Completed</t>
        </is>
      </c>
      <c r="CG18" s="223" t="inlineStr">
        <is>
          <t>2,96%</t>
        </is>
      </c>
      <c r="CH18" s="224" t="inlineStr">
        <is>
          <t>99</t>
        </is>
      </c>
      <c r="CI18" s="225" t="inlineStr">
        <is>
          <t>-0,13%</t>
        </is>
      </c>
      <c r="CJ18" s="226" t="inlineStr">
        <is>
          <t>-4,36%</t>
        </is>
      </c>
      <c r="CK18" s="227" t="inlineStr">
        <is>
          <t>0,00%</t>
        </is>
      </c>
      <c r="CL18" s="228" t="inlineStr">
        <is>
          <t>28</t>
        </is>
      </c>
      <c r="CM18" s="229" t="inlineStr">
        <is>
          <t>3,31%</t>
        </is>
      </c>
      <c r="CN18" s="230" t="inlineStr">
        <is>
          <t>100</t>
        </is>
      </c>
      <c r="CO18" s="231" t="inlineStr">
        <is>
          <t>0,00%</t>
        </is>
      </c>
      <c r="CP18" s="232" t="inlineStr">
        <is>
          <t>37</t>
        </is>
      </c>
      <c r="CQ18" s="233" t="inlineStr">
        <is>
          <t>0,00%</t>
        </is>
      </c>
      <c r="CR18" s="234" t="inlineStr">
        <is>
          <t>20</t>
        </is>
      </c>
      <c r="CS18" s="235" t="inlineStr">
        <is>
          <t>2,01%</t>
        </is>
      </c>
      <c r="CT18" s="236" t="inlineStr">
        <is>
          <t>98</t>
        </is>
      </c>
      <c r="CU18" s="237" t="inlineStr">
        <is>
          <t>4,61%</t>
        </is>
      </c>
      <c r="CV18" s="238" t="inlineStr">
        <is>
          <t>100</t>
        </is>
      </c>
      <c r="CW18" s="239" t="inlineStr">
        <is>
          <t>0,88x</t>
        </is>
      </c>
      <c r="CX18" s="240" t="inlineStr">
        <is>
          <t>46</t>
        </is>
      </c>
      <c r="CY18" s="241" t="inlineStr">
        <is>
          <t>0,00x</t>
        </is>
      </c>
      <c r="CZ18" s="242" t="inlineStr">
        <is>
          <t>0,14%</t>
        </is>
      </c>
      <c r="DA18" s="243" t="inlineStr">
        <is>
          <t>1,16x</t>
        </is>
      </c>
      <c r="DB18" s="244" t="inlineStr">
        <is>
          <t>55</t>
        </is>
      </c>
      <c r="DC18" s="245" t="inlineStr">
        <is>
          <t>1,47x</t>
        </is>
      </c>
      <c r="DD18" s="246" t="inlineStr">
        <is>
          <t>56</t>
        </is>
      </c>
      <c r="DE18" s="247" t="inlineStr">
        <is>
          <t>1,63x</t>
        </is>
      </c>
      <c r="DF18" s="248" t="inlineStr">
        <is>
          <t>62</t>
        </is>
      </c>
      <c r="DG18" s="249" t="inlineStr">
        <is>
          <t>0,69x</t>
        </is>
      </c>
      <c r="DH18" s="250" t="inlineStr">
        <is>
          <t>42</t>
        </is>
      </c>
      <c r="DI18" s="251" t="inlineStr">
        <is>
          <t>0,48x</t>
        </is>
      </c>
      <c r="DJ18" s="252" t="inlineStr">
        <is>
          <t>38</t>
        </is>
      </c>
      <c r="DK18" s="253" t="inlineStr">
        <is>
          <t>2,47x</t>
        </is>
      </c>
      <c r="DL18" s="254" t="inlineStr">
        <is>
          <t>67</t>
        </is>
      </c>
      <c r="DM18" s="255" t="inlineStr">
        <is>
          <t>599</t>
        </is>
      </c>
      <c r="DN18" s="256" t="inlineStr">
        <is>
          <t>22</t>
        </is>
      </c>
      <c r="DO18" s="257" t="inlineStr">
        <is>
          <t>3,81%</t>
        </is>
      </c>
      <c r="DP18" s="258" t="inlineStr">
        <is>
          <t>383</t>
        </is>
      </c>
      <c r="DQ18" s="259" t="inlineStr">
        <is>
          <t>2</t>
        </is>
      </c>
      <c r="DR18" s="260" t="inlineStr">
        <is>
          <t>0,52%</t>
        </is>
      </c>
      <c r="DS18" s="261" t="inlineStr">
        <is>
          <t>25</t>
        </is>
      </c>
      <c r="DT18" s="262" t="inlineStr">
        <is>
          <t>0</t>
        </is>
      </c>
      <c r="DU18" s="263" t="inlineStr">
        <is>
          <t>0,00%</t>
        </is>
      </c>
      <c r="DV18" s="264" t="inlineStr">
        <is>
          <t>916</t>
        </is>
      </c>
      <c r="DW18" s="265" t="inlineStr">
        <is>
          <t>20</t>
        </is>
      </c>
      <c r="DX18" s="266" t="inlineStr">
        <is>
          <t>2,23%</t>
        </is>
      </c>
      <c r="DY18" s="267" t="inlineStr">
        <is>
          <t>PitchBook Research</t>
        </is>
      </c>
      <c r="DZ18" s="786">
        <f>HYPERLINK("https://my.pitchbook.com?c=179598-97", "View company online")</f>
      </c>
    </row>
    <row r="19">
      <c r="A19" s="9" t="inlineStr">
        <is>
          <t>186002-74</t>
        </is>
      </c>
      <c r="B19" s="10" t="inlineStr">
        <is>
          <t>Scottish Bioenergy</t>
        </is>
      </c>
      <c r="C19" s="11" t="inlineStr">
        <is>
          <t/>
        </is>
      </c>
      <c r="D19" s="12" t="inlineStr">
        <is>
          <t/>
        </is>
      </c>
      <c r="E19" s="13" t="inlineStr">
        <is>
          <t>186002-74</t>
        </is>
      </c>
      <c r="F19" s="14" t="inlineStr">
        <is>
          <t>Developer of a method of producing a natural blue extract from algae created to offer healthy, natural blue food colorant. The company's natural blue extract is manufactured by spirulina algae in stainless steel reactors, enabling users to get a natural food colorant, a healthy anti oxidant for juices or waters, a blue additive for alcohol or a healthy ingredient in pet food formulations.</t>
        </is>
      </c>
      <c r="G19" s="15" t="inlineStr">
        <is>
          <t>Materials and Resources</t>
        </is>
      </c>
      <c r="H19" s="16" t="inlineStr">
        <is>
          <t>Chemicals and Gases</t>
        </is>
      </c>
      <c r="I19" s="17" t="inlineStr">
        <is>
          <t>Specialty Chemicals</t>
        </is>
      </c>
      <c r="J19" s="18" t="inlineStr">
        <is>
          <t>Specialty Chemicals*</t>
        </is>
      </c>
      <c r="K19" s="19" t="inlineStr">
        <is>
          <t>LOHAS &amp; Wellness, Manufacturing</t>
        </is>
      </c>
      <c r="L19" s="20" t="inlineStr">
        <is>
          <t>Venture Capital-Backed</t>
        </is>
      </c>
      <c r="M19" s="21" t="n">
        <v>0.69</v>
      </c>
      <c r="N19" s="22" t="inlineStr">
        <is>
          <t>Generating Revenue</t>
        </is>
      </c>
      <c r="O19" s="23" t="inlineStr">
        <is>
          <t>Privately Held (backing)</t>
        </is>
      </c>
      <c r="P19" s="24" t="inlineStr">
        <is>
          <t>Venture Capital</t>
        </is>
      </c>
      <c r="Q19" s="25" t="inlineStr">
        <is>
          <t>www.scotbio.com</t>
        </is>
      </c>
      <c r="R19" s="26" t="inlineStr">
        <is>
          <t/>
        </is>
      </c>
      <c r="S19" s="27" t="inlineStr">
        <is>
          <t/>
        </is>
      </c>
      <c r="T19" s="28" t="inlineStr">
        <is>
          <t/>
        </is>
      </c>
      <c r="U19" s="29" t="n">
        <v>2007.0</v>
      </c>
      <c r="V19" s="30" t="inlineStr">
        <is>
          <t/>
        </is>
      </c>
      <c r="W19" s="31" t="inlineStr">
        <is>
          <t/>
        </is>
      </c>
      <c r="X19" s="32" t="inlineStr">
        <is>
          <t/>
        </is>
      </c>
      <c r="Y19" s="33" t="inlineStr">
        <is>
          <t/>
        </is>
      </c>
      <c r="Z19" s="34" t="inlineStr">
        <is>
          <t/>
        </is>
      </c>
      <c r="AA19" s="35" t="inlineStr">
        <is>
          <t/>
        </is>
      </c>
      <c r="AB19" s="36" t="inlineStr">
        <is>
          <t/>
        </is>
      </c>
      <c r="AC19" s="37" t="inlineStr">
        <is>
          <t/>
        </is>
      </c>
      <c r="AD19" s="38" t="inlineStr">
        <is>
          <t/>
        </is>
      </c>
      <c r="AE19" s="39" t="inlineStr">
        <is>
          <t>170376-22P</t>
        </is>
      </c>
      <c r="AF19" s="40" t="inlineStr">
        <is>
          <t>David Van Alstyne</t>
        </is>
      </c>
      <c r="AG19" s="41" t="inlineStr">
        <is>
          <t>Chief Executive Officer &amp; Founder</t>
        </is>
      </c>
      <c r="AH19" s="42" t="inlineStr">
        <is>
          <t>david@scotbio.com</t>
        </is>
      </c>
      <c r="AI19" s="43" t="inlineStr">
        <is>
          <t/>
        </is>
      </c>
      <c r="AJ19" s="44" t="inlineStr">
        <is>
          <t>Edinburgh, United Kingdom</t>
        </is>
      </c>
      <c r="AK19" s="45" t="inlineStr">
        <is>
          <t>Wallace Building Roslin BioCentre</t>
        </is>
      </c>
      <c r="AL19" s="46" t="inlineStr">
        <is>
          <t>Roslin</t>
        </is>
      </c>
      <c r="AM19" s="47" t="inlineStr">
        <is>
          <t>Edinburgh</t>
        </is>
      </c>
      <c r="AN19" s="48" t="inlineStr">
        <is>
          <t>Scotland</t>
        </is>
      </c>
      <c r="AO19" s="49" t="inlineStr">
        <is>
          <t>EH25 9PP</t>
        </is>
      </c>
      <c r="AP19" s="50" t="inlineStr">
        <is>
          <t>United Kingdom</t>
        </is>
      </c>
      <c r="AQ19" s="51" t="inlineStr">
        <is>
          <t/>
        </is>
      </c>
      <c r="AR19" s="52" t="inlineStr">
        <is>
          <t/>
        </is>
      </c>
      <c r="AS19" s="53" t="inlineStr">
        <is>
          <t/>
        </is>
      </c>
      <c r="AT19" s="54" t="inlineStr">
        <is>
          <t>Europe</t>
        </is>
      </c>
      <c r="AU19" s="55" t="inlineStr">
        <is>
          <t>Western Europe</t>
        </is>
      </c>
      <c r="AV19" s="56" t="inlineStr">
        <is>
          <t>The company raised GBP 500,000 of venture funding from Kelvin Capital and Investing Women on September 2, 2017. Previously, the company raised GBP 113,000 of venture funding from undisclosed investors on November 7, 2016, putting the pre-money valuation at GBP 556,000.</t>
        </is>
      </c>
      <c r="AW19" s="57" t="inlineStr">
        <is>
          <t>Investing Women Angels, Kelvin Capital</t>
        </is>
      </c>
      <c r="AX19" s="58" t="n">
        <v>2.0</v>
      </c>
      <c r="AY19" s="59" t="inlineStr">
        <is>
          <t/>
        </is>
      </c>
      <c r="AZ19" s="60" t="inlineStr">
        <is>
          <t/>
        </is>
      </c>
      <c r="BA19" s="61" t="inlineStr">
        <is>
          <t/>
        </is>
      </c>
      <c r="BB19" s="62" t="inlineStr">
        <is>
          <t>Investing Women Angels (www.investingwomen.co.uk), Kelvin Capital (www.kelvincapital.com)</t>
        </is>
      </c>
      <c r="BC19" s="63" t="inlineStr">
        <is>
          <t/>
        </is>
      </c>
      <c r="BD19" s="64" t="inlineStr">
        <is>
          <t/>
        </is>
      </c>
      <c r="BE19" s="65" t="inlineStr">
        <is>
          <t>Bell and Associates (Legal Advisor), MBM Commercial (Legal Advisor), Chiene + Tait (Accounting)</t>
        </is>
      </c>
      <c r="BF19" s="66" t="inlineStr">
        <is>
          <t/>
        </is>
      </c>
      <c r="BG19" s="67" t="inlineStr">
        <is>
          <t/>
        </is>
      </c>
      <c r="BH19" s="68" t="n">
        <v>0.45</v>
      </c>
      <c r="BI19" s="69" t="inlineStr">
        <is>
          <t>Actual</t>
        </is>
      </c>
      <c r="BJ19" s="70" t="inlineStr">
        <is>
          <t/>
        </is>
      </c>
      <c r="BK19" s="71" t="inlineStr">
        <is>
          <t/>
        </is>
      </c>
      <c r="BL19" s="72" t="inlineStr">
        <is>
          <t>Grant</t>
        </is>
      </c>
      <c r="BM19" s="73" t="inlineStr">
        <is>
          <t/>
        </is>
      </c>
      <c r="BN19" s="74" t="inlineStr">
        <is>
          <t/>
        </is>
      </c>
      <c r="BO19" s="75" t="inlineStr">
        <is>
          <t>Other</t>
        </is>
      </c>
      <c r="BP19" s="76" t="inlineStr">
        <is>
          <t/>
        </is>
      </c>
      <c r="BQ19" s="77" t="inlineStr">
        <is>
          <t/>
        </is>
      </c>
      <c r="BR19" s="78" t="inlineStr">
        <is>
          <t/>
        </is>
      </c>
      <c r="BS19" s="79" t="inlineStr">
        <is>
          <t>Completed</t>
        </is>
      </c>
      <c r="BT19" s="80" t="n">
        <v>42980.0</v>
      </c>
      <c r="BU19" s="81" t="n">
        <v>0.56</v>
      </c>
      <c r="BV19" s="82" t="inlineStr">
        <is>
          <t>Estimated</t>
        </is>
      </c>
      <c r="BW19" s="83" t="inlineStr">
        <is>
          <t/>
        </is>
      </c>
      <c r="BX19" s="84" t="inlineStr">
        <is>
          <t/>
        </is>
      </c>
      <c r="BY19" s="85" t="inlineStr">
        <is>
          <t>Early Stage VC</t>
        </is>
      </c>
      <c r="BZ19" s="86" t="inlineStr">
        <is>
          <t/>
        </is>
      </c>
      <c r="CA19" s="87" t="inlineStr">
        <is>
          <t/>
        </is>
      </c>
      <c r="CB19" s="88" t="inlineStr">
        <is>
          <t>Venture Capital</t>
        </is>
      </c>
      <c r="CC19" s="89" t="inlineStr">
        <is>
          <t/>
        </is>
      </c>
      <c r="CD19" s="90" t="inlineStr">
        <is>
          <t/>
        </is>
      </c>
      <c r="CE19" s="91" t="inlineStr">
        <is>
          <t/>
        </is>
      </c>
      <c r="CF19" s="92" t="inlineStr">
        <is>
          <t>Completed</t>
        </is>
      </c>
      <c r="CG19" s="93" t="inlineStr">
        <is>
          <t>0,15%</t>
        </is>
      </c>
      <c r="CH19" s="94" t="inlineStr">
        <is>
          <t>85</t>
        </is>
      </c>
      <c r="CI19" s="95" t="inlineStr">
        <is>
          <t>-0,18%</t>
        </is>
      </c>
      <c r="CJ19" s="96" t="inlineStr">
        <is>
          <t>-55,05%</t>
        </is>
      </c>
      <c r="CK19" s="97" t="inlineStr">
        <is>
          <t>0,00%</t>
        </is>
      </c>
      <c r="CL19" s="98" t="inlineStr">
        <is>
          <t>28</t>
        </is>
      </c>
      <c r="CM19" s="99" t="inlineStr">
        <is>
          <t>0,30%</t>
        </is>
      </c>
      <c r="CN19" s="100" t="inlineStr">
        <is>
          <t>80</t>
        </is>
      </c>
      <c r="CO19" s="101" t="inlineStr">
        <is>
          <t/>
        </is>
      </c>
      <c r="CP19" s="102" t="inlineStr">
        <is>
          <t/>
        </is>
      </c>
      <c r="CQ19" s="103" t="inlineStr">
        <is>
          <t>0,00%</t>
        </is>
      </c>
      <c r="CR19" s="104" t="inlineStr">
        <is>
          <t>20</t>
        </is>
      </c>
      <c r="CS19" s="105" t="inlineStr">
        <is>
          <t>0,00%</t>
        </is>
      </c>
      <c r="CT19" s="106" t="inlineStr">
        <is>
          <t>18</t>
        </is>
      </c>
      <c r="CU19" s="107" t="inlineStr">
        <is>
          <t>0,60%</t>
        </is>
      </c>
      <c r="CV19" s="108" t="inlineStr">
        <is>
          <t>93</t>
        </is>
      </c>
      <c r="CW19" s="109" t="inlineStr">
        <is>
          <t>0,14x</t>
        </is>
      </c>
      <c r="CX19" s="110" t="inlineStr">
        <is>
          <t>11</t>
        </is>
      </c>
      <c r="CY19" s="111" t="inlineStr">
        <is>
          <t>0,00x</t>
        </is>
      </c>
      <c r="CZ19" s="112" t="inlineStr">
        <is>
          <t>-0,26%</t>
        </is>
      </c>
      <c r="DA19" s="113" t="inlineStr">
        <is>
          <t>0,08x</t>
        </is>
      </c>
      <c r="DB19" s="114" t="inlineStr">
        <is>
          <t>7</t>
        </is>
      </c>
      <c r="DC19" s="115" t="inlineStr">
        <is>
          <t>0,20x</t>
        </is>
      </c>
      <c r="DD19" s="116" t="inlineStr">
        <is>
          <t>21</t>
        </is>
      </c>
      <c r="DE19" s="117" t="inlineStr">
        <is>
          <t/>
        </is>
      </c>
      <c r="DF19" s="118" t="inlineStr">
        <is>
          <t/>
        </is>
      </c>
      <c r="DG19" s="119" t="inlineStr">
        <is>
          <t>0,08x</t>
        </is>
      </c>
      <c r="DH19" s="120" t="inlineStr">
        <is>
          <t>8</t>
        </is>
      </c>
      <c r="DI19" s="121" t="inlineStr">
        <is>
          <t>0,04x</t>
        </is>
      </c>
      <c r="DJ19" s="122" t="inlineStr">
        <is>
          <t>7</t>
        </is>
      </c>
      <c r="DK19" s="123" t="inlineStr">
        <is>
          <t>0,35x</t>
        </is>
      </c>
      <c r="DL19" s="124" t="inlineStr">
        <is>
          <t>32</t>
        </is>
      </c>
      <c r="DM19" s="125" t="inlineStr">
        <is>
          <t/>
        </is>
      </c>
      <c r="DN19" s="126" t="inlineStr">
        <is>
          <t/>
        </is>
      </c>
      <c r="DO19" s="127" t="inlineStr">
        <is>
          <t/>
        </is>
      </c>
      <c r="DP19" s="128" t="inlineStr">
        <is>
          <t>34</t>
        </is>
      </c>
      <c r="DQ19" s="129" t="inlineStr">
        <is>
          <t>0</t>
        </is>
      </c>
      <c r="DR19" s="130" t="inlineStr">
        <is>
          <t>0,00%</t>
        </is>
      </c>
      <c r="DS19" s="131" t="inlineStr">
        <is>
          <t>3</t>
        </is>
      </c>
      <c r="DT19" s="132" t="inlineStr">
        <is>
          <t>0</t>
        </is>
      </c>
      <c r="DU19" s="133" t="inlineStr">
        <is>
          <t>0,00%</t>
        </is>
      </c>
      <c r="DV19" s="134" t="inlineStr">
        <is>
          <t>130</t>
        </is>
      </c>
      <c r="DW19" s="135" t="inlineStr">
        <is>
          <t>-1</t>
        </is>
      </c>
      <c r="DX19" s="136" t="inlineStr">
        <is>
          <t>-0,76%</t>
        </is>
      </c>
      <c r="DY19" s="137" t="inlineStr">
        <is>
          <t>PitchBook Research</t>
        </is>
      </c>
      <c r="DZ19" s="785">
        <f>HYPERLINK("https://my.pitchbook.com?c=186002-74", "View company online")</f>
      </c>
    </row>
    <row r="20">
      <c r="A20" s="139" t="inlineStr">
        <is>
          <t>222361-75</t>
        </is>
      </c>
      <c r="B20" s="140" t="inlineStr">
        <is>
          <t>Xtramile</t>
        </is>
      </c>
      <c r="C20" s="141" t="inlineStr">
        <is>
          <t/>
        </is>
      </c>
      <c r="D20" s="142" t="inlineStr">
        <is>
          <t/>
        </is>
      </c>
      <c r="E20" s="143" t="inlineStr">
        <is>
          <t>222361-75</t>
        </is>
      </c>
      <c r="F20" s="144" t="inlineStr">
        <is>
          <t>Provider of an online platform intended to offer recruitment and promotional assistance for various clients. The company's online platform, enabling its clients to optimize their recruitment and branding efforts using various digital tools.</t>
        </is>
      </c>
      <c r="G20" s="145" t="inlineStr">
        <is>
          <t>Business Products and Services (B2B)</t>
        </is>
      </c>
      <c r="H20" s="146" t="inlineStr">
        <is>
          <t>Commercial Services</t>
        </is>
      </c>
      <c r="I20" s="147" t="inlineStr">
        <is>
          <t>Human Capital Services</t>
        </is>
      </c>
      <c r="J20" s="148" t="inlineStr">
        <is>
          <t>Human Capital Services*; Media and Information Services (B2B); Business/Productivity Software</t>
        </is>
      </c>
      <c r="K20" s="149" t="inlineStr">
        <is>
          <t>Marketing Tech</t>
        </is>
      </c>
      <c r="L20" s="150" t="inlineStr">
        <is>
          <t>Venture Capital-Backed</t>
        </is>
      </c>
      <c r="M20" s="151" t="n">
        <v>0.7</v>
      </c>
      <c r="N20" s="152" t="inlineStr">
        <is>
          <t>Generating Revenue</t>
        </is>
      </c>
      <c r="O20" s="153" t="inlineStr">
        <is>
          <t>Privately Held (backing)</t>
        </is>
      </c>
      <c r="P20" s="154" t="inlineStr">
        <is>
          <t>Venture Capital</t>
        </is>
      </c>
      <c r="Q20" s="155" t="inlineStr">
        <is>
          <t>www.xtramile.io</t>
        </is>
      </c>
      <c r="R20" s="156" t="n">
        <v>14.0</v>
      </c>
      <c r="S20" s="157" t="inlineStr">
        <is>
          <t/>
        </is>
      </c>
      <c r="T20" s="158" t="inlineStr">
        <is>
          <t/>
        </is>
      </c>
      <c r="U20" s="159" t="n">
        <v>2015.0</v>
      </c>
      <c r="V20" s="160" t="inlineStr">
        <is>
          <t/>
        </is>
      </c>
      <c r="W20" s="161" t="inlineStr">
        <is>
          <t/>
        </is>
      </c>
      <c r="X20" s="162" t="inlineStr">
        <is>
          <t/>
        </is>
      </c>
      <c r="Y20" s="163" t="inlineStr">
        <is>
          <t/>
        </is>
      </c>
      <c r="Z20" s="164" t="inlineStr">
        <is>
          <t/>
        </is>
      </c>
      <c r="AA20" s="165" t="inlineStr">
        <is>
          <t/>
        </is>
      </c>
      <c r="AB20" s="166" t="inlineStr">
        <is>
          <t/>
        </is>
      </c>
      <c r="AC20" s="167" t="inlineStr">
        <is>
          <t/>
        </is>
      </c>
      <c r="AD20" s="168" t="inlineStr">
        <is>
          <t/>
        </is>
      </c>
      <c r="AE20" s="169" t="inlineStr">
        <is>
          <t>174781-81P</t>
        </is>
      </c>
      <c r="AF20" s="170" t="inlineStr">
        <is>
          <t>Xavier Rage</t>
        </is>
      </c>
      <c r="AG20" s="171" t="inlineStr">
        <is>
          <t>Chief Executive Officer &amp; Co-Founder</t>
        </is>
      </c>
      <c r="AH20" s="172" t="inlineStr">
        <is>
          <t>xrage@xtramile.io</t>
        </is>
      </c>
      <c r="AI20" s="173" t="inlineStr">
        <is>
          <t/>
        </is>
      </c>
      <c r="AJ20" s="174" t="inlineStr">
        <is>
          <t>Metz, France</t>
        </is>
      </c>
      <c r="AK20" s="175" t="inlineStr">
        <is>
          <t>11 Rampart Saint Thiébault</t>
        </is>
      </c>
      <c r="AL20" s="176" t="inlineStr">
        <is>
          <t/>
        </is>
      </c>
      <c r="AM20" s="177" t="inlineStr">
        <is>
          <t>Metz</t>
        </is>
      </c>
      <c r="AN20" s="178" t="inlineStr">
        <is>
          <t/>
        </is>
      </c>
      <c r="AO20" s="179" t="inlineStr">
        <is>
          <t>57000</t>
        </is>
      </c>
      <c r="AP20" s="180" t="inlineStr">
        <is>
          <t>France</t>
        </is>
      </c>
      <c r="AQ20" s="181" t="inlineStr">
        <is>
          <t/>
        </is>
      </c>
      <c r="AR20" s="182" t="inlineStr">
        <is>
          <t/>
        </is>
      </c>
      <c r="AS20" s="183" t="inlineStr">
        <is>
          <t>contact@myxtramile.com</t>
        </is>
      </c>
      <c r="AT20" s="184" t="inlineStr">
        <is>
          <t>Europe</t>
        </is>
      </c>
      <c r="AU20" s="185" t="inlineStr">
        <is>
          <t>Western Europe</t>
        </is>
      </c>
      <c r="AV20" s="186" t="inlineStr">
        <is>
          <t>The company raised EUR 700,000 of venture funding from Bpifrance, Finovam Gestion and Lorraine Active on September 5, 2017. The funding will enable the company to accelerate its development in France and the United Kingdom.</t>
        </is>
      </c>
      <c r="AW20" s="187" t="inlineStr">
        <is>
          <t>Bpifrance, Finovam Gestion, Lorraine Active</t>
        </is>
      </c>
      <c r="AX20" s="188" t="n">
        <v>3.0</v>
      </c>
      <c r="AY20" s="189" t="inlineStr">
        <is>
          <t/>
        </is>
      </c>
      <c r="AZ20" s="190" t="inlineStr">
        <is>
          <t/>
        </is>
      </c>
      <c r="BA20" s="191" t="inlineStr">
        <is>
          <t/>
        </is>
      </c>
      <c r="BB20" s="192" t="inlineStr">
        <is>
          <t>Bpifrance (www.bpifrance.fr), Finovam Gestion (www.finovamgestion.fr), Lorraine Active (www.lorraineactive.org)</t>
        </is>
      </c>
      <c r="BC20" s="193" t="inlineStr">
        <is>
          <t/>
        </is>
      </c>
      <c r="BD20" s="194" t="inlineStr">
        <is>
          <t/>
        </is>
      </c>
      <c r="BE20" s="195" t="inlineStr">
        <is>
          <t/>
        </is>
      </c>
      <c r="BF20" s="196" t="inlineStr">
        <is>
          <t/>
        </is>
      </c>
      <c r="BG20" s="197" t="n">
        <v>42983.0</v>
      </c>
      <c r="BH20" s="198" t="n">
        <v>0.7</v>
      </c>
      <c r="BI20" s="199" t="inlineStr">
        <is>
          <t>Actual</t>
        </is>
      </c>
      <c r="BJ20" s="200" t="inlineStr">
        <is>
          <t/>
        </is>
      </c>
      <c r="BK20" s="201" t="inlineStr">
        <is>
          <t/>
        </is>
      </c>
      <c r="BL20" s="202" t="inlineStr">
        <is>
          <t>Early Stage VC</t>
        </is>
      </c>
      <c r="BM20" s="203" t="inlineStr">
        <is>
          <t/>
        </is>
      </c>
      <c r="BN20" s="204" t="inlineStr">
        <is>
          <t/>
        </is>
      </c>
      <c r="BO20" s="205" t="inlineStr">
        <is>
          <t>Venture Capital</t>
        </is>
      </c>
      <c r="BP20" s="206" t="inlineStr">
        <is>
          <t/>
        </is>
      </c>
      <c r="BQ20" s="207" t="inlineStr">
        <is>
          <t/>
        </is>
      </c>
      <c r="BR20" s="208" t="inlineStr">
        <is>
          <t/>
        </is>
      </c>
      <c r="BS20" s="209" t="inlineStr">
        <is>
          <t>Completed</t>
        </is>
      </c>
      <c r="BT20" s="210" t="n">
        <v>42983.0</v>
      </c>
      <c r="BU20" s="211" t="n">
        <v>0.7</v>
      </c>
      <c r="BV20" s="212" t="inlineStr">
        <is>
          <t>Actual</t>
        </is>
      </c>
      <c r="BW20" s="213" t="inlineStr">
        <is>
          <t/>
        </is>
      </c>
      <c r="BX20" s="214" t="inlineStr">
        <is>
          <t/>
        </is>
      </c>
      <c r="BY20" s="215" t="inlineStr">
        <is>
          <t>Early Stage VC</t>
        </is>
      </c>
      <c r="BZ20" s="216" t="inlineStr">
        <is>
          <t/>
        </is>
      </c>
      <c r="CA20" s="217" t="inlineStr">
        <is>
          <t/>
        </is>
      </c>
      <c r="CB20" s="218" t="inlineStr">
        <is>
          <t>Venture Capital</t>
        </is>
      </c>
      <c r="CC20" s="219" t="inlineStr">
        <is>
          <t/>
        </is>
      </c>
      <c r="CD20" s="220" t="inlineStr">
        <is>
          <t/>
        </is>
      </c>
      <c r="CE20" s="221" t="inlineStr">
        <is>
          <t/>
        </is>
      </c>
      <c r="CF20" s="222" t="inlineStr">
        <is>
          <t>Completed</t>
        </is>
      </c>
      <c r="CG20" s="223" t="inlineStr">
        <is>
          <t/>
        </is>
      </c>
      <c r="CH20" s="224" t="inlineStr">
        <is>
          <t/>
        </is>
      </c>
      <c r="CI20" s="225" t="inlineStr">
        <is>
          <t/>
        </is>
      </c>
      <c r="CJ20" s="226" t="inlineStr">
        <is>
          <t/>
        </is>
      </c>
      <c r="CK20" s="227" t="inlineStr">
        <is>
          <t/>
        </is>
      </c>
      <c r="CL20" s="228" t="inlineStr">
        <is>
          <t/>
        </is>
      </c>
      <c r="CM20" s="229" t="inlineStr">
        <is>
          <t/>
        </is>
      </c>
      <c r="CN20" s="230" t="inlineStr">
        <is>
          <t/>
        </is>
      </c>
      <c r="CO20" s="231" t="inlineStr">
        <is>
          <t/>
        </is>
      </c>
      <c r="CP20" s="232" t="inlineStr">
        <is>
          <t/>
        </is>
      </c>
      <c r="CQ20" s="233" t="inlineStr">
        <is>
          <t/>
        </is>
      </c>
      <c r="CR20" s="234" t="inlineStr">
        <is>
          <t/>
        </is>
      </c>
      <c r="CS20" s="235" t="inlineStr">
        <is>
          <t/>
        </is>
      </c>
      <c r="CT20" s="236" t="inlineStr">
        <is>
          <t/>
        </is>
      </c>
      <c r="CU20" s="237" t="inlineStr">
        <is>
          <t/>
        </is>
      </c>
      <c r="CV20" s="238" t="inlineStr">
        <is>
          <t/>
        </is>
      </c>
      <c r="CW20" s="239" t="inlineStr">
        <is>
          <t/>
        </is>
      </c>
      <c r="CX20" s="240" t="inlineStr">
        <is>
          <t/>
        </is>
      </c>
      <c r="CY20" s="241" t="inlineStr">
        <is>
          <t/>
        </is>
      </c>
      <c r="CZ20" s="242" t="inlineStr">
        <is>
          <t/>
        </is>
      </c>
      <c r="DA20" s="243" t="inlineStr">
        <is>
          <t/>
        </is>
      </c>
      <c r="DB20" s="244" t="inlineStr">
        <is>
          <t/>
        </is>
      </c>
      <c r="DC20" s="245" t="inlineStr">
        <is>
          <t/>
        </is>
      </c>
      <c r="DD20" s="246" t="inlineStr">
        <is>
          <t/>
        </is>
      </c>
      <c r="DE20" s="247" t="inlineStr">
        <is>
          <t/>
        </is>
      </c>
      <c r="DF20" s="248" t="inlineStr">
        <is>
          <t/>
        </is>
      </c>
      <c r="DG20" s="249" t="inlineStr">
        <is>
          <t/>
        </is>
      </c>
      <c r="DH20" s="250" t="inlineStr">
        <is>
          <t/>
        </is>
      </c>
      <c r="DI20" s="251" t="inlineStr">
        <is>
          <t/>
        </is>
      </c>
      <c r="DJ20" s="252" t="inlineStr">
        <is>
          <t/>
        </is>
      </c>
      <c r="DK20" s="253" t="inlineStr">
        <is>
          <t/>
        </is>
      </c>
      <c r="DL20" s="254" t="inlineStr">
        <is>
          <t/>
        </is>
      </c>
      <c r="DM20" s="255" t="inlineStr">
        <is>
          <t/>
        </is>
      </c>
      <c r="DN20" s="256" t="inlineStr">
        <is>
          <t/>
        </is>
      </c>
      <c r="DO20" s="257" t="inlineStr">
        <is>
          <t/>
        </is>
      </c>
      <c r="DP20" s="258" t="inlineStr">
        <is>
          <t/>
        </is>
      </c>
      <c r="DQ20" s="259" t="inlineStr">
        <is>
          <t/>
        </is>
      </c>
      <c r="DR20" s="260" t="inlineStr">
        <is>
          <t/>
        </is>
      </c>
      <c r="DS20" s="261" t="inlineStr">
        <is>
          <t/>
        </is>
      </c>
      <c r="DT20" s="262" t="inlineStr">
        <is>
          <t/>
        </is>
      </c>
      <c r="DU20" s="263" t="inlineStr">
        <is>
          <t/>
        </is>
      </c>
      <c r="DV20" s="264" t="inlineStr">
        <is>
          <t/>
        </is>
      </c>
      <c r="DW20" s="265" t="inlineStr">
        <is>
          <t/>
        </is>
      </c>
      <c r="DX20" s="266" t="inlineStr">
        <is>
          <t/>
        </is>
      </c>
      <c r="DY20" s="267" t="inlineStr">
        <is>
          <t>PitchBook Research</t>
        </is>
      </c>
      <c r="DZ20" s="786">
        <f>HYPERLINK("https://my.pitchbook.com?c=222361-75", "View company online")</f>
      </c>
    </row>
    <row r="21">
      <c r="A21" s="9" t="inlineStr">
        <is>
          <t>222283-72</t>
        </is>
      </c>
      <c r="B21" s="10" t="inlineStr">
        <is>
          <t>Ahum</t>
        </is>
      </c>
      <c r="C21" s="11" t="inlineStr">
        <is>
          <t/>
        </is>
      </c>
      <c r="D21" s="12" t="inlineStr">
        <is>
          <t/>
        </is>
      </c>
      <c r="E21" s="13" t="inlineStr">
        <is>
          <t>222283-72</t>
        </is>
      </c>
      <c r="F21" s="14" t="inlineStr">
        <is>
          <t>Operator of an online marketplace for therapists created to make it easier to find the right therapy at right time. The company's platform consists is a cloud-based AI engine whose algorithms match the patient with the correct therapist. The platform also manages the therapist's administration with reservations, payments and records and meets all confidentiality and legal requirements, enabling the patient to find the right therapist and the therapists to get patients.</t>
        </is>
      </c>
      <c r="G21" s="15" t="inlineStr">
        <is>
          <t>Healthcare</t>
        </is>
      </c>
      <c r="H21" s="16" t="inlineStr">
        <is>
          <t>Healthcare Services</t>
        </is>
      </c>
      <c r="I21" s="17" t="inlineStr">
        <is>
          <t>Clinics/Outpatient Services</t>
        </is>
      </c>
      <c r="J21" s="18" t="inlineStr">
        <is>
          <t>Clinics/Outpatient Services*</t>
        </is>
      </c>
      <c r="K21" s="19" t="inlineStr">
        <is>
          <t>E-Commerce, HealthTech, SaaS</t>
        </is>
      </c>
      <c r="L21" s="20" t="inlineStr">
        <is>
          <t>Venture Capital-Backed</t>
        </is>
      </c>
      <c r="M21" s="21" t="n">
        <v>0.71</v>
      </c>
      <c r="N21" s="22" t="inlineStr">
        <is>
          <t>Generating Revenue</t>
        </is>
      </c>
      <c r="O21" s="23" t="inlineStr">
        <is>
          <t>Privately Held (backing)</t>
        </is>
      </c>
      <c r="P21" s="24" t="inlineStr">
        <is>
          <t>Venture Capital</t>
        </is>
      </c>
      <c r="Q21" s="25" t="inlineStr">
        <is>
          <t>www.ahum.se</t>
        </is>
      </c>
      <c r="R21" s="26" t="inlineStr">
        <is>
          <t/>
        </is>
      </c>
      <c r="S21" s="27" t="inlineStr">
        <is>
          <t/>
        </is>
      </c>
      <c r="T21" s="28" t="inlineStr">
        <is>
          <t/>
        </is>
      </c>
      <c r="U21" s="29" t="n">
        <v>2014.0</v>
      </c>
      <c r="V21" s="30" t="inlineStr">
        <is>
          <t/>
        </is>
      </c>
      <c r="W21" s="31" t="inlineStr">
        <is>
          <t/>
        </is>
      </c>
      <c r="X21" s="32" t="inlineStr">
        <is>
          <t/>
        </is>
      </c>
      <c r="Y21" s="33" t="inlineStr">
        <is>
          <t/>
        </is>
      </c>
      <c r="Z21" s="34" t="inlineStr">
        <is>
          <t/>
        </is>
      </c>
      <c r="AA21" s="35" t="inlineStr">
        <is>
          <t/>
        </is>
      </c>
      <c r="AB21" s="36" t="inlineStr">
        <is>
          <t/>
        </is>
      </c>
      <c r="AC21" s="37" t="inlineStr">
        <is>
          <t/>
        </is>
      </c>
      <c r="AD21" s="38" t="inlineStr">
        <is>
          <t/>
        </is>
      </c>
      <c r="AE21" s="39" t="inlineStr">
        <is>
          <t>174588-49P</t>
        </is>
      </c>
      <c r="AF21" s="40" t="inlineStr">
        <is>
          <t>Fredrik Sandin</t>
        </is>
      </c>
      <c r="AG21" s="41" t="inlineStr">
        <is>
          <t>Chief Executive Officer &amp; Co-Founder</t>
        </is>
      </c>
      <c r="AH21" s="42" t="inlineStr">
        <is>
          <t>fredrik@ahum.se</t>
        </is>
      </c>
      <c r="AI21" s="43" t="inlineStr">
        <is>
          <t/>
        </is>
      </c>
      <c r="AJ21" s="44" t="inlineStr">
        <is>
          <t>Stockholm, Sweden</t>
        </is>
      </c>
      <c r="AK21" s="45" t="inlineStr">
        <is>
          <t>Hagagatan 17B</t>
        </is>
      </c>
      <c r="AL21" s="46" t="inlineStr">
        <is>
          <t/>
        </is>
      </c>
      <c r="AM21" s="47" t="inlineStr">
        <is>
          <t>Stockholm</t>
        </is>
      </c>
      <c r="AN21" s="48" t="inlineStr">
        <is>
          <t/>
        </is>
      </c>
      <c r="AO21" s="49" t="inlineStr">
        <is>
          <t>113 47</t>
        </is>
      </c>
      <c r="AP21" s="50" t="inlineStr">
        <is>
          <t>Sweden</t>
        </is>
      </c>
      <c r="AQ21" s="51" t="inlineStr">
        <is>
          <t/>
        </is>
      </c>
      <c r="AR21" s="52" t="inlineStr">
        <is>
          <t/>
        </is>
      </c>
      <c r="AS21" s="53" t="inlineStr">
        <is>
          <t>info@ahum.se</t>
        </is>
      </c>
      <c r="AT21" s="54" t="inlineStr">
        <is>
          <t>Europe</t>
        </is>
      </c>
      <c r="AU21" s="55" t="inlineStr">
        <is>
          <t>Northern Europe</t>
        </is>
      </c>
      <c r="AV21" s="56" t="inlineStr">
        <is>
          <t>The company raised SEK 6.8 million of venture funding from Almi Invest, Peter Settman and Hidayet Tercan on October 10, 2017. Schibsted Growth and Arthur Engel also participated in the round. The funds will be used for further development and market launch of the service. Till date, the company has raised SEK 10 million in funding.</t>
        </is>
      </c>
      <c r="AW21" s="57" t="inlineStr">
        <is>
          <t>Almi Invest, Arthur Engel, Hidayet Tercan, Martin Bunge Meyer, Peter Settman, Schibsted Growth</t>
        </is>
      </c>
      <c r="AX21" s="58" t="n">
        <v>6.0</v>
      </c>
      <c r="AY21" s="59" t="inlineStr">
        <is>
          <t/>
        </is>
      </c>
      <c r="AZ21" s="60" t="inlineStr">
        <is>
          <t/>
        </is>
      </c>
      <c r="BA21" s="61" t="inlineStr">
        <is>
          <t/>
        </is>
      </c>
      <c r="BB21" s="62" t="inlineStr">
        <is>
          <t>Schibsted Growth (www.schibstedgrowth.com)</t>
        </is>
      </c>
      <c r="BC21" s="63" t="inlineStr">
        <is>
          <t/>
        </is>
      </c>
      <c r="BD21" s="64" t="inlineStr">
        <is>
          <t/>
        </is>
      </c>
      <c r="BE21" s="65" t="inlineStr">
        <is>
          <t/>
        </is>
      </c>
      <c r="BF21" s="66" t="inlineStr">
        <is>
          <t/>
        </is>
      </c>
      <c r="BG21" s="67" t="inlineStr">
        <is>
          <t/>
        </is>
      </c>
      <c r="BH21" s="68" t="inlineStr">
        <is>
          <t/>
        </is>
      </c>
      <c r="BI21" s="69" t="inlineStr">
        <is>
          <t/>
        </is>
      </c>
      <c r="BJ21" s="70" t="inlineStr">
        <is>
          <t/>
        </is>
      </c>
      <c r="BK21" s="71" t="inlineStr">
        <is>
          <t/>
        </is>
      </c>
      <c r="BL21" s="72" t="inlineStr">
        <is>
          <t>Angel (individual)</t>
        </is>
      </c>
      <c r="BM21" s="73" t="inlineStr">
        <is>
          <t>Angel</t>
        </is>
      </c>
      <c r="BN21" s="74" t="inlineStr">
        <is>
          <t/>
        </is>
      </c>
      <c r="BO21" s="75" t="inlineStr">
        <is>
          <t>Other</t>
        </is>
      </c>
      <c r="BP21" s="76" t="inlineStr">
        <is>
          <t/>
        </is>
      </c>
      <c r="BQ21" s="77" t="inlineStr">
        <is>
          <t/>
        </is>
      </c>
      <c r="BR21" s="78" t="inlineStr">
        <is>
          <t/>
        </is>
      </c>
      <c r="BS21" s="79" t="inlineStr">
        <is>
          <t>Completed</t>
        </is>
      </c>
      <c r="BT21" s="80" t="n">
        <v>43018.0</v>
      </c>
      <c r="BU21" s="81" t="n">
        <v>0.71</v>
      </c>
      <c r="BV21" s="82" t="inlineStr">
        <is>
          <t>Actual</t>
        </is>
      </c>
      <c r="BW21" s="83" t="inlineStr">
        <is>
          <t/>
        </is>
      </c>
      <c r="BX21" s="84" t="inlineStr">
        <is>
          <t/>
        </is>
      </c>
      <c r="BY21" s="85" t="inlineStr">
        <is>
          <t>Early Stage VC</t>
        </is>
      </c>
      <c r="BZ21" s="86" t="inlineStr">
        <is>
          <t/>
        </is>
      </c>
      <c r="CA21" s="87" t="inlineStr">
        <is>
          <t/>
        </is>
      </c>
      <c r="CB21" s="88" t="inlineStr">
        <is>
          <t>Venture Capital</t>
        </is>
      </c>
      <c r="CC21" s="89" t="inlineStr">
        <is>
          <t/>
        </is>
      </c>
      <c r="CD21" s="90" t="inlineStr">
        <is>
          <t/>
        </is>
      </c>
      <c r="CE21" s="91" t="inlineStr">
        <is>
          <t/>
        </is>
      </c>
      <c r="CF21" s="92" t="inlineStr">
        <is>
          <t>Completed</t>
        </is>
      </c>
      <c r="CG21" s="93" t="inlineStr">
        <is>
          <t/>
        </is>
      </c>
      <c r="CH21" s="94" t="inlineStr">
        <is>
          <t/>
        </is>
      </c>
      <c r="CI21" s="95" t="inlineStr">
        <is>
          <t/>
        </is>
      </c>
      <c r="CJ21" s="96" t="inlineStr">
        <is>
          <t/>
        </is>
      </c>
      <c r="CK21" s="97" t="inlineStr">
        <is>
          <t/>
        </is>
      </c>
      <c r="CL21" s="98" t="inlineStr">
        <is>
          <t/>
        </is>
      </c>
      <c r="CM21" s="99" t="inlineStr">
        <is>
          <t/>
        </is>
      </c>
      <c r="CN21" s="100" t="inlineStr">
        <is>
          <t/>
        </is>
      </c>
      <c r="CO21" s="101" t="inlineStr">
        <is>
          <t/>
        </is>
      </c>
      <c r="CP21" s="102" t="inlineStr">
        <is>
          <t/>
        </is>
      </c>
      <c r="CQ21" s="103" t="inlineStr">
        <is>
          <t/>
        </is>
      </c>
      <c r="CR21" s="104" t="inlineStr">
        <is>
          <t/>
        </is>
      </c>
      <c r="CS21" s="105" t="inlineStr">
        <is>
          <t/>
        </is>
      </c>
      <c r="CT21" s="106" t="inlineStr">
        <is>
          <t/>
        </is>
      </c>
      <c r="CU21" s="107" t="inlineStr">
        <is>
          <t/>
        </is>
      </c>
      <c r="CV21" s="108" t="inlineStr">
        <is>
          <t/>
        </is>
      </c>
      <c r="CW21" s="109" t="inlineStr">
        <is>
          <t/>
        </is>
      </c>
      <c r="CX21" s="110" t="inlineStr">
        <is>
          <t/>
        </is>
      </c>
      <c r="CY21" s="111" t="inlineStr">
        <is>
          <t/>
        </is>
      </c>
      <c r="CZ21" s="112" t="inlineStr">
        <is>
          <t/>
        </is>
      </c>
      <c r="DA21" s="113" t="inlineStr">
        <is>
          <t/>
        </is>
      </c>
      <c r="DB21" s="114" t="inlineStr">
        <is>
          <t/>
        </is>
      </c>
      <c r="DC21" s="115" t="inlineStr">
        <is>
          <t/>
        </is>
      </c>
      <c r="DD21" s="116" t="inlineStr">
        <is>
          <t/>
        </is>
      </c>
      <c r="DE21" s="117" t="inlineStr">
        <is>
          <t/>
        </is>
      </c>
      <c r="DF21" s="118" t="inlineStr">
        <is>
          <t/>
        </is>
      </c>
      <c r="DG21" s="119" t="inlineStr">
        <is>
          <t/>
        </is>
      </c>
      <c r="DH21" s="120" t="inlineStr">
        <is>
          <t/>
        </is>
      </c>
      <c r="DI21" s="121" t="inlineStr">
        <is>
          <t/>
        </is>
      </c>
      <c r="DJ21" s="122" t="inlineStr">
        <is>
          <t/>
        </is>
      </c>
      <c r="DK21" s="123" t="inlineStr">
        <is>
          <t/>
        </is>
      </c>
      <c r="DL21" s="124" t="inlineStr">
        <is>
          <t/>
        </is>
      </c>
      <c r="DM21" s="125" t="inlineStr">
        <is>
          <t/>
        </is>
      </c>
      <c r="DN21" s="126" t="inlineStr">
        <is>
          <t/>
        </is>
      </c>
      <c r="DO21" s="127" t="inlineStr">
        <is>
          <t/>
        </is>
      </c>
      <c r="DP21" s="128" t="inlineStr">
        <is>
          <t/>
        </is>
      </c>
      <c r="DQ21" s="129" t="inlineStr">
        <is>
          <t/>
        </is>
      </c>
      <c r="DR21" s="130" t="inlineStr">
        <is>
          <t/>
        </is>
      </c>
      <c r="DS21" s="131" t="inlineStr">
        <is>
          <t/>
        </is>
      </c>
      <c r="DT21" s="132" t="inlineStr">
        <is>
          <t/>
        </is>
      </c>
      <c r="DU21" s="133" t="inlineStr">
        <is>
          <t/>
        </is>
      </c>
      <c r="DV21" s="134" t="inlineStr">
        <is>
          <t/>
        </is>
      </c>
      <c r="DW21" s="135" t="inlineStr">
        <is>
          <t/>
        </is>
      </c>
      <c r="DX21" s="136" t="inlineStr">
        <is>
          <t/>
        </is>
      </c>
      <c r="DY21" s="137" t="inlineStr">
        <is>
          <t>PitchBook Research</t>
        </is>
      </c>
      <c r="DZ21" s="785">
        <f>HYPERLINK("https://my.pitchbook.com?c=222283-72", "View company online")</f>
      </c>
    </row>
    <row r="22">
      <c r="A22" s="139" t="inlineStr">
        <is>
          <t>166897-18</t>
        </is>
      </c>
      <c r="B22" s="140" t="inlineStr">
        <is>
          <t>FindAir</t>
        </is>
      </c>
      <c r="C22" s="141" t="inlineStr">
        <is>
          <t/>
        </is>
      </c>
      <c r="D22" s="142" t="inlineStr">
        <is>
          <t/>
        </is>
      </c>
      <c r="E22" s="143" t="inlineStr">
        <is>
          <t>166897-18</t>
        </is>
      </c>
      <c r="F22" s="144" t="inlineStr">
        <is>
          <t>Developer of an inhaler based platform for people suffering from asthma intended to help learn about dangers in the environment. The company's medical inhaler, through its platform tracks geo-location based data that can help to prevent an asthma episode and monitor their medication dosage, enabling people to reduce the number of unexpected symptoms and in turn control their asthma.</t>
        </is>
      </c>
      <c r="G22" s="145" t="inlineStr">
        <is>
          <t>Healthcare</t>
        </is>
      </c>
      <c r="H22" s="146" t="inlineStr">
        <is>
          <t>Healthcare Devices and Supplies</t>
        </is>
      </c>
      <c r="I22" s="147" t="inlineStr">
        <is>
          <t>Therapeutic Devices</t>
        </is>
      </c>
      <c r="J22" s="148" t="inlineStr">
        <is>
          <t>Therapeutic Devices*</t>
        </is>
      </c>
      <c r="K22" s="149" t="inlineStr">
        <is>
          <t>Mobile</t>
        </is>
      </c>
      <c r="L22" s="150" t="inlineStr">
        <is>
          <t>Venture Capital-Backed</t>
        </is>
      </c>
      <c r="M22" s="151" t="n">
        <v>0.72</v>
      </c>
      <c r="N22" s="152" t="inlineStr">
        <is>
          <t>Generating Revenue</t>
        </is>
      </c>
      <c r="O22" s="153" t="inlineStr">
        <is>
          <t>Privately Held (backing)</t>
        </is>
      </c>
      <c r="P22" s="154" t="inlineStr">
        <is>
          <t>Venture Capital</t>
        </is>
      </c>
      <c r="Q22" s="155" t="inlineStr">
        <is>
          <t>www.findair.pl</t>
        </is>
      </c>
      <c r="R22" s="156" t="inlineStr">
        <is>
          <t/>
        </is>
      </c>
      <c r="S22" s="157" t="inlineStr">
        <is>
          <t/>
        </is>
      </c>
      <c r="T22" s="158" t="inlineStr">
        <is>
          <t/>
        </is>
      </c>
      <c r="U22" s="159" t="n">
        <v>2015.0</v>
      </c>
      <c r="V22" s="160" t="inlineStr">
        <is>
          <t/>
        </is>
      </c>
      <c r="W22" s="161" t="inlineStr">
        <is>
          <t/>
        </is>
      </c>
      <c r="X22" s="162" t="inlineStr">
        <is>
          <t/>
        </is>
      </c>
      <c r="Y22" s="163" t="inlineStr">
        <is>
          <t/>
        </is>
      </c>
      <c r="Z22" s="164" t="inlineStr">
        <is>
          <t/>
        </is>
      </c>
      <c r="AA22" s="165" t="inlineStr">
        <is>
          <t/>
        </is>
      </c>
      <c r="AB22" s="166" t="inlineStr">
        <is>
          <t/>
        </is>
      </c>
      <c r="AC22" s="167" t="inlineStr">
        <is>
          <t/>
        </is>
      </c>
      <c r="AD22" s="168" t="inlineStr">
        <is>
          <t/>
        </is>
      </c>
      <c r="AE22" s="169" t="inlineStr">
        <is>
          <t>147064-15P</t>
        </is>
      </c>
      <c r="AF22" s="170" t="inlineStr">
        <is>
          <t>Jacek Mikosz</t>
        </is>
      </c>
      <c r="AG22" s="171" t="inlineStr">
        <is>
          <t>Co-Founder &amp; Design Lead</t>
        </is>
      </c>
      <c r="AH22" s="172" t="inlineStr">
        <is>
          <t>jacek.mikosz@findair.pl</t>
        </is>
      </c>
      <c r="AI22" s="173" t="inlineStr">
        <is>
          <t>+48 60 902 9602</t>
        </is>
      </c>
      <c r="AJ22" s="174" t="inlineStr">
        <is>
          <t>Kraków, Poland</t>
        </is>
      </c>
      <c r="AK22" s="175" t="inlineStr">
        <is>
          <t>Ul. Głogowa 26</t>
        </is>
      </c>
      <c r="AL22" s="176" t="inlineStr">
        <is>
          <t/>
        </is>
      </c>
      <c r="AM22" s="177" t="inlineStr">
        <is>
          <t>Kraków</t>
        </is>
      </c>
      <c r="AN22" s="178" t="inlineStr">
        <is>
          <t/>
        </is>
      </c>
      <c r="AO22" s="179" t="inlineStr">
        <is>
          <t>31-235</t>
        </is>
      </c>
      <c r="AP22" s="180" t="inlineStr">
        <is>
          <t>Poland</t>
        </is>
      </c>
      <c r="AQ22" s="181" t="inlineStr">
        <is>
          <t>+48 60 902 9602</t>
        </is>
      </c>
      <c r="AR22" s="182" t="inlineStr">
        <is>
          <t/>
        </is>
      </c>
      <c r="AS22" s="183" t="inlineStr">
        <is>
          <t>office@findair.pl</t>
        </is>
      </c>
      <c r="AT22" s="184" t="inlineStr">
        <is>
          <t>Europe</t>
        </is>
      </c>
      <c r="AU22" s="185" t="inlineStr">
        <is>
          <t>Eastern Europe</t>
        </is>
      </c>
      <c r="AV22" s="186" t="inlineStr">
        <is>
          <t>The company raised over PLN 3 million of venture funding from Black Pearls VC on October 27, 2017.</t>
        </is>
      </c>
      <c r="AW22" s="187" t="inlineStr">
        <is>
          <t>Black Pearls VC, Startupbootcamp</t>
        </is>
      </c>
      <c r="AX22" s="188" t="n">
        <v>2.0</v>
      </c>
      <c r="AY22" s="189" t="inlineStr">
        <is>
          <t/>
        </is>
      </c>
      <c r="AZ22" s="190" t="inlineStr">
        <is>
          <t/>
        </is>
      </c>
      <c r="BA22" s="191" t="inlineStr">
        <is>
          <t/>
        </is>
      </c>
      <c r="BB22" s="192" t="inlineStr">
        <is>
          <t>Black Pearls VC (www.blackpearls.vc), Startupbootcamp (www.startupbootcamp.org)</t>
        </is>
      </c>
      <c r="BC22" s="193" t="inlineStr">
        <is>
          <t/>
        </is>
      </c>
      <c r="BD22" s="194" t="inlineStr">
        <is>
          <t/>
        </is>
      </c>
      <c r="BE22" s="195" t="inlineStr">
        <is>
          <t/>
        </is>
      </c>
      <c r="BF22" s="196" t="inlineStr">
        <is>
          <t/>
        </is>
      </c>
      <c r="BG22" s="197" t="n">
        <v>42646.0</v>
      </c>
      <c r="BH22" s="198" t="n">
        <v>0.02</v>
      </c>
      <c r="BI22" s="199" t="inlineStr">
        <is>
          <t>Actual</t>
        </is>
      </c>
      <c r="BJ22" s="200" t="n">
        <v>0.25</v>
      </c>
      <c r="BK22" s="201" t="inlineStr">
        <is>
          <t>Actual</t>
        </is>
      </c>
      <c r="BL22" s="202" t="inlineStr">
        <is>
          <t>Accelerator/Incubator</t>
        </is>
      </c>
      <c r="BM22" s="203" t="inlineStr">
        <is>
          <t/>
        </is>
      </c>
      <c r="BN22" s="204" t="inlineStr">
        <is>
          <t/>
        </is>
      </c>
      <c r="BO22" s="205" t="inlineStr">
        <is>
          <t>Other</t>
        </is>
      </c>
      <c r="BP22" s="206" t="inlineStr">
        <is>
          <t/>
        </is>
      </c>
      <c r="BQ22" s="207" t="inlineStr">
        <is>
          <t/>
        </is>
      </c>
      <c r="BR22" s="208" t="inlineStr">
        <is>
          <t/>
        </is>
      </c>
      <c r="BS22" s="209" t="inlineStr">
        <is>
          <t>Completed</t>
        </is>
      </c>
      <c r="BT22" s="210" t="n">
        <v>43035.0</v>
      </c>
      <c r="BU22" s="211" t="n">
        <v>0.7</v>
      </c>
      <c r="BV22" s="212" t="inlineStr">
        <is>
          <t>Estimated</t>
        </is>
      </c>
      <c r="BW22" s="213" t="inlineStr">
        <is>
          <t/>
        </is>
      </c>
      <c r="BX22" s="214" t="inlineStr">
        <is>
          <t/>
        </is>
      </c>
      <c r="BY22" s="215" t="inlineStr">
        <is>
          <t>Early Stage VC</t>
        </is>
      </c>
      <c r="BZ22" s="216" t="inlineStr">
        <is>
          <t/>
        </is>
      </c>
      <c r="CA22" s="217" t="inlineStr">
        <is>
          <t/>
        </is>
      </c>
      <c r="CB22" s="218" t="inlineStr">
        <is>
          <t>Venture Capital</t>
        </is>
      </c>
      <c r="CC22" s="219" t="inlineStr">
        <is>
          <t/>
        </is>
      </c>
      <c r="CD22" s="220" t="inlineStr">
        <is>
          <t/>
        </is>
      </c>
      <c r="CE22" s="221" t="inlineStr">
        <is>
          <t/>
        </is>
      </c>
      <c r="CF22" s="222" t="inlineStr">
        <is>
          <t>Completed</t>
        </is>
      </c>
      <c r="CG22" s="223" t="inlineStr">
        <is>
          <t>0,43%</t>
        </is>
      </c>
      <c r="CH22" s="224" t="inlineStr">
        <is>
          <t>91</t>
        </is>
      </c>
      <c r="CI22" s="225" t="inlineStr">
        <is>
          <t>0,02%</t>
        </is>
      </c>
      <c r="CJ22" s="226" t="inlineStr">
        <is>
          <t>5,63%</t>
        </is>
      </c>
      <c r="CK22" s="227" t="inlineStr">
        <is>
          <t/>
        </is>
      </c>
      <c r="CL22" s="228" t="inlineStr">
        <is>
          <t/>
        </is>
      </c>
      <c r="CM22" s="229" t="inlineStr">
        <is>
          <t>0,43%</t>
        </is>
      </c>
      <c r="CN22" s="230" t="inlineStr">
        <is>
          <t>86</t>
        </is>
      </c>
      <c r="CO22" s="231" t="inlineStr">
        <is>
          <t/>
        </is>
      </c>
      <c r="CP22" s="232" t="inlineStr">
        <is>
          <t/>
        </is>
      </c>
      <c r="CQ22" s="233" t="inlineStr">
        <is>
          <t/>
        </is>
      </c>
      <c r="CR22" s="234" t="inlineStr">
        <is>
          <t/>
        </is>
      </c>
      <c r="CS22" s="235" t="inlineStr">
        <is>
          <t>0,48%</t>
        </is>
      </c>
      <c r="CT22" s="236" t="inlineStr">
        <is>
          <t>86</t>
        </is>
      </c>
      <c r="CU22" s="237" t="inlineStr">
        <is>
          <t>0,37%</t>
        </is>
      </c>
      <c r="CV22" s="238" t="inlineStr">
        <is>
          <t>87</t>
        </is>
      </c>
      <c r="CW22" s="239" t="inlineStr">
        <is>
          <t>0,49x</t>
        </is>
      </c>
      <c r="CX22" s="240" t="inlineStr">
        <is>
          <t>32</t>
        </is>
      </c>
      <c r="CY22" s="241" t="inlineStr">
        <is>
          <t>0,00x</t>
        </is>
      </c>
      <c r="CZ22" s="242" t="inlineStr">
        <is>
          <t>-0,84%</t>
        </is>
      </c>
      <c r="DA22" s="243" t="inlineStr">
        <is>
          <t/>
        </is>
      </c>
      <c r="DB22" s="244" t="inlineStr">
        <is>
          <t/>
        </is>
      </c>
      <c r="DC22" s="245" t="inlineStr">
        <is>
          <t>0,49x</t>
        </is>
      </c>
      <c r="DD22" s="246" t="inlineStr">
        <is>
          <t>35</t>
        </is>
      </c>
      <c r="DE22" s="247" t="inlineStr">
        <is>
          <t/>
        </is>
      </c>
      <c r="DF22" s="248" t="inlineStr">
        <is>
          <t/>
        </is>
      </c>
      <c r="DG22" s="249" t="inlineStr">
        <is>
          <t/>
        </is>
      </c>
      <c r="DH22" s="250" t="inlineStr">
        <is>
          <t/>
        </is>
      </c>
      <c r="DI22" s="251" t="inlineStr">
        <is>
          <t>0,71x</t>
        </is>
      </c>
      <c r="DJ22" s="252" t="inlineStr">
        <is>
          <t>45</t>
        </is>
      </c>
      <c r="DK22" s="253" t="inlineStr">
        <is>
          <t>0,28x</t>
        </is>
      </c>
      <c r="DL22" s="254" t="inlineStr">
        <is>
          <t>29</t>
        </is>
      </c>
      <c r="DM22" s="255" t="inlineStr">
        <is>
          <t/>
        </is>
      </c>
      <c r="DN22" s="256" t="inlineStr">
        <is>
          <t/>
        </is>
      </c>
      <c r="DO22" s="257" t="inlineStr">
        <is>
          <t/>
        </is>
      </c>
      <c r="DP22" s="258" t="inlineStr">
        <is>
          <t>562</t>
        </is>
      </c>
      <c r="DQ22" s="259" t="inlineStr">
        <is>
          <t>1</t>
        </is>
      </c>
      <c r="DR22" s="260" t="inlineStr">
        <is>
          <t>0,18%</t>
        </is>
      </c>
      <c r="DS22" s="261" t="inlineStr">
        <is>
          <t/>
        </is>
      </c>
      <c r="DT22" s="262" t="inlineStr">
        <is>
          <t/>
        </is>
      </c>
      <c r="DU22" s="263" t="inlineStr">
        <is>
          <t/>
        </is>
      </c>
      <c r="DV22" s="264" t="inlineStr">
        <is>
          <t>103</t>
        </is>
      </c>
      <c r="DW22" s="265" t="inlineStr">
        <is>
          <t>0</t>
        </is>
      </c>
      <c r="DX22" s="266" t="inlineStr">
        <is>
          <t>0,00%</t>
        </is>
      </c>
      <c r="DY22" s="267" t="inlineStr">
        <is>
          <t>PitchBook Research</t>
        </is>
      </c>
      <c r="DZ22" s="786">
        <f>HYPERLINK("https://my.pitchbook.com?c=166897-18", "View company online")</f>
      </c>
    </row>
    <row r="23">
      <c r="A23" s="9" t="inlineStr">
        <is>
          <t>120036-61</t>
        </is>
      </c>
      <c r="B23" s="10" t="inlineStr">
        <is>
          <t>Sentisum</t>
        </is>
      </c>
      <c r="C23" s="11" t="inlineStr">
        <is>
          <t/>
        </is>
      </c>
      <c r="D23" s="12" t="inlineStr">
        <is>
          <t/>
        </is>
      </c>
      <c r="E23" s="13" t="inlineStr">
        <is>
          <t>120036-61</t>
        </is>
      </c>
      <c r="F23" s="14" t="inlineStr">
        <is>
          <t>Developer of a customer opinion data analytics platform designed to offer actionable insights from customer-opinion data. The company's customer opinion data analytics platform utilizes a summarization algorithm, recommendation engine and sentiment analysis to process customer feedback and provide actionable insights from unstructured customer experience data, enabling businesses to improve customer experience and reduce customer churn.</t>
        </is>
      </c>
      <c r="G23" s="15" t="inlineStr">
        <is>
          <t>Information Technology</t>
        </is>
      </c>
      <c r="H23" s="16" t="inlineStr">
        <is>
          <t>Software</t>
        </is>
      </c>
      <c r="I23" s="17" t="inlineStr">
        <is>
          <t>Business/Productivity Software</t>
        </is>
      </c>
      <c r="J23" s="18" t="inlineStr">
        <is>
          <t>Business/Productivity Software*; Consulting Services (B2B); Media and Information Services (B2B)</t>
        </is>
      </c>
      <c r="K23" s="19" t="inlineStr">
        <is>
          <t>Artificial Intelligence &amp; Machine Learning, Big Data, SaaS</t>
        </is>
      </c>
      <c r="L23" s="20" t="inlineStr">
        <is>
          <t>Accelerator/Incubator Backed</t>
        </is>
      </c>
      <c r="M23" s="21" t="n">
        <v>0.73</v>
      </c>
      <c r="N23" s="22" t="inlineStr">
        <is>
          <t>Generating Revenue</t>
        </is>
      </c>
      <c r="O23" s="23" t="inlineStr">
        <is>
          <t>Privately Held (backing)</t>
        </is>
      </c>
      <c r="P23" s="24" t="inlineStr">
        <is>
          <t>Venture Capital</t>
        </is>
      </c>
      <c r="Q23" s="25" t="inlineStr">
        <is>
          <t>www.sentisum.com</t>
        </is>
      </c>
      <c r="R23" s="26" t="n">
        <v>5.0</v>
      </c>
      <c r="S23" s="27" t="inlineStr">
        <is>
          <t/>
        </is>
      </c>
      <c r="T23" s="28" t="inlineStr">
        <is>
          <t/>
        </is>
      </c>
      <c r="U23" s="29" t="n">
        <v>2015.0</v>
      </c>
      <c r="V23" s="30" t="inlineStr">
        <is>
          <t/>
        </is>
      </c>
      <c r="W23" s="31" t="inlineStr">
        <is>
          <t/>
        </is>
      </c>
      <c r="X23" s="32" t="inlineStr">
        <is>
          <t/>
        </is>
      </c>
      <c r="Y23" s="33" t="inlineStr">
        <is>
          <t/>
        </is>
      </c>
      <c r="Z23" s="34" t="inlineStr">
        <is>
          <t/>
        </is>
      </c>
      <c r="AA23" s="35" t="inlineStr">
        <is>
          <t/>
        </is>
      </c>
      <c r="AB23" s="36" t="inlineStr">
        <is>
          <t/>
        </is>
      </c>
      <c r="AC23" s="37" t="inlineStr">
        <is>
          <t/>
        </is>
      </c>
      <c r="AD23" s="38" t="inlineStr">
        <is>
          <t/>
        </is>
      </c>
      <c r="AE23" s="39" t="inlineStr">
        <is>
          <t>156579-31P</t>
        </is>
      </c>
      <c r="AF23" s="40" t="inlineStr">
        <is>
          <t>Sharad Khandelwal</t>
        </is>
      </c>
      <c r="AG23" s="41" t="inlineStr">
        <is>
          <t>Co-Founder &amp; Chief Executive Officer</t>
        </is>
      </c>
      <c r="AH23" s="42" t="inlineStr">
        <is>
          <t>sharad.khandelwal@sentisum.com</t>
        </is>
      </c>
      <c r="AI23" s="43" t="inlineStr">
        <is>
          <t/>
        </is>
      </c>
      <c r="AJ23" s="44" t="inlineStr">
        <is>
          <t>London, United Kingdom</t>
        </is>
      </c>
      <c r="AK23" s="45" t="inlineStr">
        <is>
          <t>76 Vincent Square</t>
        </is>
      </c>
      <c r="AL23" s="46" t="inlineStr">
        <is>
          <t>Westminster</t>
        </is>
      </c>
      <c r="AM23" s="47" t="inlineStr">
        <is>
          <t>London</t>
        </is>
      </c>
      <c r="AN23" s="48" t="inlineStr">
        <is>
          <t>England</t>
        </is>
      </c>
      <c r="AO23" s="49" t="inlineStr">
        <is>
          <t>SW1P 2PD</t>
        </is>
      </c>
      <c r="AP23" s="50" t="inlineStr">
        <is>
          <t>United Kingdom</t>
        </is>
      </c>
      <c r="AQ23" s="51" t="inlineStr">
        <is>
          <t/>
        </is>
      </c>
      <c r="AR23" s="52" t="inlineStr">
        <is>
          <t/>
        </is>
      </c>
      <c r="AS23" s="53" t="inlineStr">
        <is>
          <t>officeuk@sentisum.com</t>
        </is>
      </c>
      <c r="AT23" s="54" t="inlineStr">
        <is>
          <t>Europe</t>
        </is>
      </c>
      <c r="AU23" s="55" t="inlineStr">
        <is>
          <t>Western Europe</t>
        </is>
      </c>
      <c r="AV23" s="56" t="inlineStr">
        <is>
          <t>The company raised $700,000 of seed funding from Ascension Ventures, AiTC and 500 Startups on September 5, 2017. London Co-Investment Fund also participated in the round. The funding will be used to further develop its technology, boost sales, expand globally and drive customer-centric approach to the insurance sector.</t>
        </is>
      </c>
      <c r="AW23" s="57" t="inlineStr">
        <is>
          <t>500 Startups, Angels in the City, Ascension Ventures (UK), Dreamstake, London Co-Investment Fund</t>
        </is>
      </c>
      <c r="AX23" s="58" t="n">
        <v>5.0</v>
      </c>
      <c r="AY23" s="59" t="inlineStr">
        <is>
          <t/>
        </is>
      </c>
      <c r="AZ23" s="60" t="inlineStr">
        <is>
          <t/>
        </is>
      </c>
      <c r="BA23" s="61" t="inlineStr">
        <is>
          <t/>
        </is>
      </c>
      <c r="BB23" s="62" t="inlineStr">
        <is>
          <t>500 Startups (www.500.co), Angels in the City (www.angelsinthecity.org.uk), Ascension Ventures (UK) (www.ascensionventures.com), Dreamstake (www.dreamstake.net), London Co-Investment Fund (www.lcif.co)</t>
        </is>
      </c>
      <c r="BC23" s="63" t="inlineStr">
        <is>
          <t/>
        </is>
      </c>
      <c r="BD23" s="64" t="inlineStr">
        <is>
          <t/>
        </is>
      </c>
      <c r="BE23" s="65" t="inlineStr">
        <is>
          <t/>
        </is>
      </c>
      <c r="BF23" s="66" t="inlineStr">
        <is>
          <t/>
        </is>
      </c>
      <c r="BG23" s="67" t="inlineStr">
        <is>
          <t/>
        </is>
      </c>
      <c r="BH23" s="68" t="inlineStr">
        <is>
          <t/>
        </is>
      </c>
      <c r="BI23" s="69" t="inlineStr">
        <is>
          <t/>
        </is>
      </c>
      <c r="BJ23" s="70" t="inlineStr">
        <is>
          <t/>
        </is>
      </c>
      <c r="BK23" s="71" t="inlineStr">
        <is>
          <t/>
        </is>
      </c>
      <c r="BL23" s="72" t="inlineStr">
        <is>
          <t>Accelerator/Incubator</t>
        </is>
      </c>
      <c r="BM23" s="73" t="inlineStr">
        <is>
          <t/>
        </is>
      </c>
      <c r="BN23" s="74" t="inlineStr">
        <is>
          <t/>
        </is>
      </c>
      <c r="BO23" s="75" t="inlineStr">
        <is>
          <t>Other</t>
        </is>
      </c>
      <c r="BP23" s="76" t="inlineStr">
        <is>
          <t/>
        </is>
      </c>
      <c r="BQ23" s="77" t="inlineStr">
        <is>
          <t/>
        </is>
      </c>
      <c r="BR23" s="78" t="inlineStr">
        <is>
          <t/>
        </is>
      </c>
      <c r="BS23" s="79" t="inlineStr">
        <is>
          <t>Completed</t>
        </is>
      </c>
      <c r="BT23" s="80" t="n">
        <v>42983.0</v>
      </c>
      <c r="BU23" s="81" t="n">
        <v>0.59</v>
      </c>
      <c r="BV23" s="82" t="inlineStr">
        <is>
          <t>Actual</t>
        </is>
      </c>
      <c r="BW23" s="83" t="inlineStr">
        <is>
          <t/>
        </is>
      </c>
      <c r="BX23" s="84" t="inlineStr">
        <is>
          <t/>
        </is>
      </c>
      <c r="BY23" s="85" t="inlineStr">
        <is>
          <t>Seed Round</t>
        </is>
      </c>
      <c r="BZ23" s="86" t="inlineStr">
        <is>
          <t>Seed</t>
        </is>
      </c>
      <c r="CA23" s="87" t="inlineStr">
        <is>
          <t/>
        </is>
      </c>
      <c r="CB23" s="88" t="inlineStr">
        <is>
          <t>Venture Capital</t>
        </is>
      </c>
      <c r="CC23" s="89" t="inlineStr">
        <is>
          <t/>
        </is>
      </c>
      <c r="CD23" s="90" t="inlineStr">
        <is>
          <t/>
        </is>
      </c>
      <c r="CE23" s="91" t="inlineStr">
        <is>
          <t/>
        </is>
      </c>
      <c r="CF23" s="92" t="inlineStr">
        <is>
          <t>Completed</t>
        </is>
      </c>
      <c r="CG23" s="93" t="inlineStr">
        <is>
          <t>-0,51%</t>
        </is>
      </c>
      <c r="CH23" s="94" t="inlineStr">
        <is>
          <t>18</t>
        </is>
      </c>
      <c r="CI23" s="95" t="inlineStr">
        <is>
          <t>0,00%</t>
        </is>
      </c>
      <c r="CJ23" s="96" t="inlineStr">
        <is>
          <t>0,85%</t>
        </is>
      </c>
      <c r="CK23" s="97" t="inlineStr">
        <is>
          <t>-1,10%</t>
        </is>
      </c>
      <c r="CL23" s="98" t="inlineStr">
        <is>
          <t>19</t>
        </is>
      </c>
      <c r="CM23" s="99" t="inlineStr">
        <is>
          <t>0,08%</t>
        </is>
      </c>
      <c r="CN23" s="100" t="inlineStr">
        <is>
          <t>55</t>
        </is>
      </c>
      <c r="CO23" s="101" t="inlineStr">
        <is>
          <t>-2,20%</t>
        </is>
      </c>
      <c r="CP23" s="102" t="inlineStr">
        <is>
          <t>29</t>
        </is>
      </c>
      <c r="CQ23" s="103" t="inlineStr">
        <is>
          <t>0,00%</t>
        </is>
      </c>
      <c r="CR23" s="104" t="inlineStr">
        <is>
          <t>20</t>
        </is>
      </c>
      <c r="CS23" s="105" t="inlineStr">
        <is>
          <t>0,23%</t>
        </is>
      </c>
      <c r="CT23" s="106" t="inlineStr">
        <is>
          <t>72</t>
        </is>
      </c>
      <c r="CU23" s="107" t="inlineStr">
        <is>
          <t>-0,07%</t>
        </is>
      </c>
      <c r="CV23" s="108" t="inlineStr">
        <is>
          <t>11</t>
        </is>
      </c>
      <c r="CW23" s="109" t="inlineStr">
        <is>
          <t>1,14x</t>
        </is>
      </c>
      <c r="CX23" s="110" t="inlineStr">
        <is>
          <t>52</t>
        </is>
      </c>
      <c r="CY23" s="111" t="inlineStr">
        <is>
          <t>-0,01x</t>
        </is>
      </c>
      <c r="CZ23" s="112" t="inlineStr">
        <is>
          <t>-0,85%</t>
        </is>
      </c>
      <c r="DA23" s="113" t="inlineStr">
        <is>
          <t>0,33x</t>
        </is>
      </c>
      <c r="DB23" s="114" t="inlineStr">
        <is>
          <t>26</t>
        </is>
      </c>
      <c r="DC23" s="115" t="inlineStr">
        <is>
          <t>1,95x</t>
        </is>
      </c>
      <c r="DD23" s="116" t="inlineStr">
        <is>
          <t>61</t>
        </is>
      </c>
      <c r="DE23" s="117" t="inlineStr">
        <is>
          <t>0,11x</t>
        </is>
      </c>
      <c r="DF23" s="118" t="inlineStr">
        <is>
          <t>5</t>
        </is>
      </c>
      <c r="DG23" s="119" t="inlineStr">
        <is>
          <t>0,56x</t>
        </is>
      </c>
      <c r="DH23" s="120" t="inlineStr">
        <is>
          <t>38</t>
        </is>
      </c>
      <c r="DI23" s="121" t="inlineStr">
        <is>
          <t>0,14x</t>
        </is>
      </c>
      <c r="DJ23" s="122" t="inlineStr">
        <is>
          <t>18</t>
        </is>
      </c>
      <c r="DK23" s="123" t="inlineStr">
        <is>
          <t>3,77x</t>
        </is>
      </c>
      <c r="DL23" s="124" t="inlineStr">
        <is>
          <t>75</t>
        </is>
      </c>
      <c r="DM23" s="125" t="inlineStr">
        <is>
          <t>94</t>
        </is>
      </c>
      <c r="DN23" s="126" t="inlineStr">
        <is>
          <t>-126</t>
        </is>
      </c>
      <c r="DO23" s="127" t="inlineStr">
        <is>
          <t>-57,27%</t>
        </is>
      </c>
      <c r="DP23" s="128" t="inlineStr">
        <is>
          <t>108</t>
        </is>
      </c>
      <c r="DQ23" s="129" t="inlineStr">
        <is>
          <t>1</t>
        </is>
      </c>
      <c r="DR23" s="130" t="inlineStr">
        <is>
          <t>0,93%</t>
        </is>
      </c>
      <c r="DS23" s="131" t="inlineStr">
        <is>
          <t>20</t>
        </is>
      </c>
      <c r="DT23" s="132" t="inlineStr">
        <is>
          <t>0</t>
        </is>
      </c>
      <c r="DU23" s="133" t="inlineStr">
        <is>
          <t>0,00%</t>
        </is>
      </c>
      <c r="DV23" s="134" t="inlineStr">
        <is>
          <t>1.410</t>
        </is>
      </c>
      <c r="DW23" s="135" t="inlineStr">
        <is>
          <t>-1</t>
        </is>
      </c>
      <c r="DX23" s="136" t="inlineStr">
        <is>
          <t>-0,07%</t>
        </is>
      </c>
      <c r="DY23" s="137" t="inlineStr">
        <is>
          <t>PitchBook Research</t>
        </is>
      </c>
      <c r="DZ23" s="785">
        <f>HYPERLINK("https://my.pitchbook.com?c=120036-61", "View company online")</f>
      </c>
    </row>
    <row r="24">
      <c r="A24" s="139" t="inlineStr">
        <is>
          <t>94866-13</t>
        </is>
      </c>
      <c r="B24" s="140" t="inlineStr">
        <is>
          <t>Referanza</t>
        </is>
      </c>
      <c r="C24" s="141" t="inlineStr">
        <is>
          <t/>
        </is>
      </c>
      <c r="D24" s="142" t="inlineStr">
        <is>
          <t/>
        </is>
      </c>
      <c r="E24" s="143" t="inlineStr">
        <is>
          <t>94866-13</t>
        </is>
      </c>
      <c r="F24" s="144" t="inlineStr">
        <is>
          <t>Developer of a micro influencer marketing platform designed to promote services and products. The company's micro influencer marketing platform offers a consumer data driven marketing space where satisfied customers are asked to make an actual recommendation on social, via e-mail or SMS, enabling businesses get their satisfied customers to easily recommend the positive experiences and products they like to their friends in social media.</t>
        </is>
      </c>
      <c r="G24" s="145" t="inlineStr">
        <is>
          <t>Business Products and Services (B2B)</t>
        </is>
      </c>
      <c r="H24" s="146" t="inlineStr">
        <is>
          <t>Commercial Services</t>
        </is>
      </c>
      <c r="I24" s="147" t="inlineStr">
        <is>
          <t>Media and Information Services (B2B)</t>
        </is>
      </c>
      <c r="J24" s="148" t="inlineStr">
        <is>
          <t>Media and Information Services (B2B)*; Social Content; Business/Productivity Software</t>
        </is>
      </c>
      <c r="K24" s="149" t="inlineStr">
        <is>
          <t>AdTech, Marketing Tech, SaaS</t>
        </is>
      </c>
      <c r="L24" s="150" t="inlineStr">
        <is>
          <t>Venture Capital-Backed</t>
        </is>
      </c>
      <c r="M24" s="151" t="n">
        <v>0.75</v>
      </c>
      <c r="N24" s="152" t="inlineStr">
        <is>
          <t>Generating Revenue</t>
        </is>
      </c>
      <c r="O24" s="153" t="inlineStr">
        <is>
          <t>Privately Held (backing)</t>
        </is>
      </c>
      <c r="P24" s="154" t="inlineStr">
        <is>
          <t>Venture Capital</t>
        </is>
      </c>
      <c r="Q24" s="155" t="inlineStr">
        <is>
          <t>www.referanza.com</t>
        </is>
      </c>
      <c r="R24" s="156" t="n">
        <v>4.0</v>
      </c>
      <c r="S24" s="157" t="inlineStr">
        <is>
          <t/>
        </is>
      </c>
      <c r="T24" s="158" t="inlineStr">
        <is>
          <t/>
        </is>
      </c>
      <c r="U24" s="159" t="n">
        <v>2014.0</v>
      </c>
      <c r="V24" s="160" t="inlineStr">
        <is>
          <t/>
        </is>
      </c>
      <c r="W24" s="161" t="inlineStr">
        <is>
          <t/>
        </is>
      </c>
      <c r="X24" s="162" t="inlineStr">
        <is>
          <t/>
        </is>
      </c>
      <c r="Y24" s="163" t="n">
        <v>0.07589</v>
      </c>
      <c r="Z24" s="164" t="inlineStr">
        <is>
          <t/>
        </is>
      </c>
      <c r="AA24" s="165" t="n">
        <v>-0.05692</v>
      </c>
      <c r="AB24" s="166" t="inlineStr">
        <is>
          <t/>
        </is>
      </c>
      <c r="AC24" s="167" t="n">
        <v>-0.03794</v>
      </c>
      <c r="AD24" s="168" t="inlineStr">
        <is>
          <t>FY 2016</t>
        </is>
      </c>
      <c r="AE24" s="169" t="inlineStr">
        <is>
          <t>117263-44P</t>
        </is>
      </c>
      <c r="AF24" s="170" t="inlineStr">
        <is>
          <t>Joakim Turesson</t>
        </is>
      </c>
      <c r="AG24" s="171" t="inlineStr">
        <is>
          <t>Chairman, Co-Founder and Chief Executive Officer</t>
        </is>
      </c>
      <c r="AH24" s="172" t="inlineStr">
        <is>
          <t>joakim.turesson@referanza.com</t>
        </is>
      </c>
      <c r="AI24" s="173" t="inlineStr">
        <is>
          <t>+46 (0)3 366 28 66</t>
        </is>
      </c>
      <c r="AJ24" s="174" t="inlineStr">
        <is>
          <t>Stockholm, Sweden</t>
        </is>
      </c>
      <c r="AK24" s="175" t="inlineStr">
        <is>
          <t>C/o SUP46 Regeringsgatan 65</t>
        </is>
      </c>
      <c r="AL24" s="176" t="inlineStr">
        <is>
          <t/>
        </is>
      </c>
      <c r="AM24" s="177" t="inlineStr">
        <is>
          <t>Stockholm</t>
        </is>
      </c>
      <c r="AN24" s="178" t="inlineStr">
        <is>
          <t/>
        </is>
      </c>
      <c r="AO24" s="179" t="inlineStr">
        <is>
          <t>111 56</t>
        </is>
      </c>
      <c r="AP24" s="180" t="inlineStr">
        <is>
          <t>Sweden</t>
        </is>
      </c>
      <c r="AQ24" s="181" t="inlineStr">
        <is>
          <t>+46 (0)3 366 28 66</t>
        </is>
      </c>
      <c r="AR24" s="182" t="inlineStr">
        <is>
          <t/>
        </is>
      </c>
      <c r="AS24" s="183" t="inlineStr">
        <is>
          <t>hello@referanza.com</t>
        </is>
      </c>
      <c r="AT24" s="184" t="inlineStr">
        <is>
          <t>Europe</t>
        </is>
      </c>
      <c r="AU24" s="185" t="inlineStr">
        <is>
          <t>Northern Europe</t>
        </is>
      </c>
      <c r="AV24" s="186" t="inlineStr">
        <is>
          <t>The company raised SEK 6.5 million of venture funding in a deal led by Almi Invest on September 7, 2017. Kichi Invest and Bo Mattsson also participated in this round. The investment will be used for continued development and expansion in Sweden and abroad.</t>
        </is>
      </c>
      <c r="AW24" s="187" t="inlineStr">
        <is>
          <t>Almi Invest, Bo Mattsson, Kichi Invest, SUP46</t>
        </is>
      </c>
      <c r="AX24" s="188" t="n">
        <v>4.0</v>
      </c>
      <c r="AY24" s="189" t="inlineStr">
        <is>
          <t/>
        </is>
      </c>
      <c r="AZ24" s="190" t="inlineStr">
        <is>
          <t/>
        </is>
      </c>
      <c r="BA24" s="191" t="inlineStr">
        <is>
          <t/>
        </is>
      </c>
      <c r="BB24" s="192" t="inlineStr">
        <is>
          <t>Kichi Invest (www.kichiinvest.se), SUP46 (www.SUP46.com)</t>
        </is>
      </c>
      <c r="BC24" s="193" t="inlineStr">
        <is>
          <t/>
        </is>
      </c>
      <c r="BD24" s="194" t="inlineStr">
        <is>
          <t/>
        </is>
      </c>
      <c r="BE24" s="195" t="inlineStr">
        <is>
          <t/>
        </is>
      </c>
      <c r="BF24" s="196" t="inlineStr">
        <is>
          <t/>
        </is>
      </c>
      <c r="BG24" s="197" t="n">
        <v>41760.0</v>
      </c>
      <c r="BH24" s="198" t="n">
        <v>0.07</v>
      </c>
      <c r="BI24" s="199" t="inlineStr">
        <is>
          <t>Actual</t>
        </is>
      </c>
      <c r="BJ24" s="200" t="inlineStr">
        <is>
          <t/>
        </is>
      </c>
      <c r="BK24" s="201" t="inlineStr">
        <is>
          <t/>
        </is>
      </c>
      <c r="BL24" s="202" t="inlineStr">
        <is>
          <t>Seed Round</t>
        </is>
      </c>
      <c r="BM24" s="203" t="inlineStr">
        <is>
          <t>Seed</t>
        </is>
      </c>
      <c r="BN24" s="204" t="inlineStr">
        <is>
          <t/>
        </is>
      </c>
      <c r="BO24" s="205" t="inlineStr">
        <is>
          <t>Venture Capital</t>
        </is>
      </c>
      <c r="BP24" s="206" t="inlineStr">
        <is>
          <t/>
        </is>
      </c>
      <c r="BQ24" s="207" t="inlineStr">
        <is>
          <t/>
        </is>
      </c>
      <c r="BR24" s="208" t="inlineStr">
        <is>
          <t/>
        </is>
      </c>
      <c r="BS24" s="209" t="inlineStr">
        <is>
          <t>Completed</t>
        </is>
      </c>
      <c r="BT24" s="210" t="n">
        <v>42985.0</v>
      </c>
      <c r="BU24" s="211" t="n">
        <v>0.68</v>
      </c>
      <c r="BV24" s="212" t="inlineStr">
        <is>
          <t>Actual</t>
        </is>
      </c>
      <c r="BW24" s="213" t="inlineStr">
        <is>
          <t/>
        </is>
      </c>
      <c r="BX24" s="214" t="inlineStr">
        <is>
          <t/>
        </is>
      </c>
      <c r="BY24" s="215" t="inlineStr">
        <is>
          <t>Early Stage VC</t>
        </is>
      </c>
      <c r="BZ24" s="216" t="inlineStr">
        <is>
          <t/>
        </is>
      </c>
      <c r="CA24" s="217" t="inlineStr">
        <is>
          <t/>
        </is>
      </c>
      <c r="CB24" s="218" t="inlineStr">
        <is>
          <t>Venture Capital</t>
        </is>
      </c>
      <c r="CC24" s="219" t="inlineStr">
        <is>
          <t/>
        </is>
      </c>
      <c r="CD24" s="220" t="inlineStr">
        <is>
          <t/>
        </is>
      </c>
      <c r="CE24" s="221" t="inlineStr">
        <is>
          <t/>
        </is>
      </c>
      <c r="CF24" s="222" t="inlineStr">
        <is>
          <t>Completed</t>
        </is>
      </c>
      <c r="CG24" s="223" t="inlineStr">
        <is>
          <t>0,43%</t>
        </is>
      </c>
      <c r="CH24" s="224" t="inlineStr">
        <is>
          <t>91</t>
        </is>
      </c>
      <c r="CI24" s="225" t="inlineStr">
        <is>
          <t>-0,17%</t>
        </is>
      </c>
      <c r="CJ24" s="226" t="inlineStr">
        <is>
          <t>-28,58%</t>
        </is>
      </c>
      <c r="CK24" s="227" t="inlineStr">
        <is>
          <t>0,00%</t>
        </is>
      </c>
      <c r="CL24" s="228" t="inlineStr">
        <is>
          <t>28</t>
        </is>
      </c>
      <c r="CM24" s="229" t="inlineStr">
        <is>
          <t>0,87%</t>
        </is>
      </c>
      <c r="CN24" s="230" t="inlineStr">
        <is>
          <t>95</t>
        </is>
      </c>
      <c r="CO24" s="231" t="inlineStr">
        <is>
          <t>0,00%</t>
        </is>
      </c>
      <c r="CP24" s="232" t="inlineStr">
        <is>
          <t>37</t>
        </is>
      </c>
      <c r="CQ24" s="233" t="inlineStr">
        <is>
          <t>0,00%</t>
        </is>
      </c>
      <c r="CR24" s="234" t="inlineStr">
        <is>
          <t>20</t>
        </is>
      </c>
      <c r="CS24" s="235" t="inlineStr">
        <is>
          <t>1,33%</t>
        </is>
      </c>
      <c r="CT24" s="236" t="inlineStr">
        <is>
          <t>96</t>
        </is>
      </c>
      <c r="CU24" s="237" t="inlineStr">
        <is>
          <t>0,40%</t>
        </is>
      </c>
      <c r="CV24" s="238" t="inlineStr">
        <is>
          <t>88</t>
        </is>
      </c>
      <c r="CW24" s="239" t="inlineStr">
        <is>
          <t>0,51x</t>
        </is>
      </c>
      <c r="CX24" s="240" t="inlineStr">
        <is>
          <t>33</t>
        </is>
      </c>
      <c r="CY24" s="241" t="inlineStr">
        <is>
          <t>0,00x</t>
        </is>
      </c>
      <c r="CZ24" s="242" t="inlineStr">
        <is>
          <t>-0,41%</t>
        </is>
      </c>
      <c r="DA24" s="243" t="inlineStr">
        <is>
          <t>0,38x</t>
        </is>
      </c>
      <c r="DB24" s="244" t="inlineStr">
        <is>
          <t>29</t>
        </is>
      </c>
      <c r="DC24" s="245" t="inlineStr">
        <is>
          <t>0,63x</t>
        </is>
      </c>
      <c r="DD24" s="246" t="inlineStr">
        <is>
          <t>40</t>
        </is>
      </c>
      <c r="DE24" s="247" t="inlineStr">
        <is>
          <t>0,32x</t>
        </is>
      </c>
      <c r="DF24" s="248" t="inlineStr">
        <is>
          <t>23</t>
        </is>
      </c>
      <c r="DG24" s="249" t="inlineStr">
        <is>
          <t>0,44x</t>
        </is>
      </c>
      <c r="DH24" s="250" t="inlineStr">
        <is>
          <t>33</t>
        </is>
      </c>
      <c r="DI24" s="251" t="inlineStr">
        <is>
          <t>0,38x</t>
        </is>
      </c>
      <c r="DJ24" s="252" t="inlineStr">
        <is>
          <t>34</t>
        </is>
      </c>
      <c r="DK24" s="253" t="inlineStr">
        <is>
          <t>0,88x</t>
        </is>
      </c>
      <c r="DL24" s="254" t="inlineStr">
        <is>
          <t>48</t>
        </is>
      </c>
      <c r="DM24" s="255" t="inlineStr">
        <is>
          <t>118</t>
        </is>
      </c>
      <c r="DN24" s="256" t="inlineStr">
        <is>
          <t>1</t>
        </is>
      </c>
      <c r="DO24" s="257" t="inlineStr">
        <is>
          <t>0,85%</t>
        </is>
      </c>
      <c r="DP24" s="258" t="inlineStr">
        <is>
          <t>301</t>
        </is>
      </c>
      <c r="DQ24" s="259" t="inlineStr">
        <is>
          <t>0</t>
        </is>
      </c>
      <c r="DR24" s="260" t="inlineStr">
        <is>
          <t>0,00%</t>
        </is>
      </c>
      <c r="DS24" s="261" t="inlineStr">
        <is>
          <t>16</t>
        </is>
      </c>
      <c r="DT24" s="262" t="inlineStr">
        <is>
          <t>0</t>
        </is>
      </c>
      <c r="DU24" s="263" t="inlineStr">
        <is>
          <t>0,00%</t>
        </is>
      </c>
      <c r="DV24" s="264" t="inlineStr">
        <is>
          <t>327</t>
        </is>
      </c>
      <c r="DW24" s="265" t="inlineStr">
        <is>
          <t>0</t>
        </is>
      </c>
      <c r="DX24" s="266" t="inlineStr">
        <is>
          <t>0,00%</t>
        </is>
      </c>
      <c r="DY24" s="267" t="inlineStr">
        <is>
          <t>PitchBook Research</t>
        </is>
      </c>
      <c r="DZ24" s="786">
        <f>HYPERLINK("https://my.pitchbook.com?c=94866-13", "View company online")</f>
      </c>
    </row>
    <row r="25">
      <c r="A25" s="9" t="inlineStr">
        <is>
          <t>96549-76</t>
        </is>
      </c>
      <c r="B25" s="10" t="inlineStr">
        <is>
          <t>Photoslurp</t>
        </is>
      </c>
      <c r="C25" s="11" t="inlineStr">
        <is>
          <t/>
        </is>
      </c>
      <c r="D25" s="12" t="inlineStr">
        <is>
          <t/>
        </is>
      </c>
      <c r="E25" s="13" t="inlineStr">
        <is>
          <t>96549-76</t>
        </is>
      </c>
      <c r="F25" s="14" t="inlineStr">
        <is>
          <t>Developer of visual commerce and marketing platform created to bridge the gap between customer photos and brand stories. The company's visual commerce and marketing platform collects customer photos from across social networks, selects incoming photos that fit brand image and make them shoppable and analyze the increases in conversion rate of customers. It engages and identifies the best performing photos brands to build influence by leveraging user-generated content (UGC) in marketing with the underlying premise being that online advertising is delivering diminishing returns.</t>
        </is>
      </c>
      <c r="G25" s="15" t="inlineStr">
        <is>
          <t>Information Technology</t>
        </is>
      </c>
      <c r="H25" s="16" t="inlineStr">
        <is>
          <t>Software</t>
        </is>
      </c>
      <c r="I25" s="17" t="inlineStr">
        <is>
          <t>Application Software</t>
        </is>
      </c>
      <c r="J25" s="18" t="inlineStr">
        <is>
          <t>Application Software*; Media and Information Services (B2B); Business/Productivity Software</t>
        </is>
      </c>
      <c r="K25" s="19" t="inlineStr">
        <is>
          <t>AdTech, Marketing Tech, SaaS</t>
        </is>
      </c>
      <c r="L25" s="20" t="inlineStr">
        <is>
          <t>Venture Capital-Backed</t>
        </is>
      </c>
      <c r="M25" s="21" t="n">
        <v>0.75</v>
      </c>
      <c r="N25" s="22" t="inlineStr">
        <is>
          <t>Generating Revenue</t>
        </is>
      </c>
      <c r="O25" s="23" t="inlineStr">
        <is>
          <t>Privately Held (backing)</t>
        </is>
      </c>
      <c r="P25" s="24" t="inlineStr">
        <is>
          <t>Venture Capital</t>
        </is>
      </c>
      <c r="Q25" s="25" t="inlineStr">
        <is>
          <t>www.photoslurp.com</t>
        </is>
      </c>
      <c r="R25" s="26" t="inlineStr">
        <is>
          <t/>
        </is>
      </c>
      <c r="S25" s="27" t="inlineStr">
        <is>
          <t/>
        </is>
      </c>
      <c r="T25" s="28" t="inlineStr">
        <is>
          <t/>
        </is>
      </c>
      <c r="U25" s="29" t="n">
        <v>2014.0</v>
      </c>
      <c r="V25" s="30" t="inlineStr">
        <is>
          <t/>
        </is>
      </c>
      <c r="W25" s="31" t="inlineStr">
        <is>
          <t/>
        </is>
      </c>
      <c r="X25" s="32" t="inlineStr">
        <is>
          <t/>
        </is>
      </c>
      <c r="Y25" s="33" t="inlineStr">
        <is>
          <t/>
        </is>
      </c>
      <c r="Z25" s="34" t="inlineStr">
        <is>
          <t/>
        </is>
      </c>
      <c r="AA25" s="35" t="inlineStr">
        <is>
          <t/>
        </is>
      </c>
      <c r="AB25" s="36" t="inlineStr">
        <is>
          <t/>
        </is>
      </c>
      <c r="AC25" s="37" t="inlineStr">
        <is>
          <t/>
        </is>
      </c>
      <c r="AD25" s="38" t="inlineStr">
        <is>
          <t/>
        </is>
      </c>
      <c r="AE25" s="39" t="inlineStr">
        <is>
          <t>119999-17P</t>
        </is>
      </c>
      <c r="AF25" s="40" t="inlineStr">
        <is>
          <t>Ben Heinkel</t>
        </is>
      </c>
      <c r="AG25" s="41" t="inlineStr">
        <is>
          <t>Co-Founder &amp; Chief Technology Officer</t>
        </is>
      </c>
      <c r="AH25" s="42" t="inlineStr">
        <is>
          <t>ben@photoslurp.com</t>
        </is>
      </c>
      <c r="AI25" s="43" t="inlineStr">
        <is>
          <t/>
        </is>
      </c>
      <c r="AJ25" s="44" t="inlineStr">
        <is>
          <t>Barcelona, Spain</t>
        </is>
      </c>
      <c r="AK25" s="45" t="inlineStr">
        <is>
          <t>Carrer Llacuna 162-164</t>
        </is>
      </c>
      <c r="AL25" s="46" t="inlineStr">
        <is>
          <t/>
        </is>
      </c>
      <c r="AM25" s="47" t="inlineStr">
        <is>
          <t>Barcelona</t>
        </is>
      </c>
      <c r="AN25" s="48" t="inlineStr">
        <is>
          <t/>
        </is>
      </c>
      <c r="AO25" s="49" t="inlineStr">
        <is>
          <t>08018</t>
        </is>
      </c>
      <c r="AP25" s="50" t="inlineStr">
        <is>
          <t>Spain</t>
        </is>
      </c>
      <c r="AQ25" s="51" t="inlineStr">
        <is>
          <t/>
        </is>
      </c>
      <c r="AR25" s="52" t="inlineStr">
        <is>
          <t/>
        </is>
      </c>
      <c r="AS25" s="53" t="inlineStr">
        <is>
          <t>info@photoslurp.com</t>
        </is>
      </c>
      <c r="AT25" s="54" t="inlineStr">
        <is>
          <t>Europe</t>
        </is>
      </c>
      <c r="AU25" s="55" t="inlineStr">
        <is>
          <t>Southern Europe</t>
        </is>
      </c>
      <c r="AV25" s="56" t="inlineStr">
        <is>
          <t>The company raised EUR 750,000 of Pre-Series A funding led by Inveready Technology Investment Group on November 6, 2017. Bankinter VC, Caixa Capital Risc and ICF also participated in the round. The funds will be used to further development of the platform, including spending on image recognition tech to "further help ease the detection of products" from the UGC pool, and on ramping up on sales and marketing globally.</t>
        </is>
      </c>
      <c r="AW25" s="57" t="inlineStr">
        <is>
          <t>Bankinter, Caixa Capital Risc, ICF, Inveready Technology Investment Group, Seedrocket</t>
        </is>
      </c>
      <c r="AX25" s="58" t="n">
        <v>5.0</v>
      </c>
      <c r="AY25" s="59" t="inlineStr">
        <is>
          <t/>
        </is>
      </c>
      <c r="AZ25" s="60" t="inlineStr">
        <is>
          <t/>
        </is>
      </c>
      <c r="BA25" s="61" t="inlineStr">
        <is>
          <t/>
        </is>
      </c>
      <c r="BB25" s="62" t="inlineStr">
        <is>
          <t>Bankinter (www.bankinter.com), Caixa Capital Risc (www.caixacapitalrisc.es), ICF (www.icf.com), Inveready Technology Investment Group (www.inveready.com), Seedrocket (www.seedrocket.com)</t>
        </is>
      </c>
      <c r="BC25" s="63" t="inlineStr">
        <is>
          <t/>
        </is>
      </c>
      <c r="BD25" s="64" t="inlineStr">
        <is>
          <t/>
        </is>
      </c>
      <c r="BE25" s="65" t="inlineStr">
        <is>
          <t/>
        </is>
      </c>
      <c r="BF25" s="66" t="inlineStr">
        <is>
          <t/>
        </is>
      </c>
      <c r="BG25" s="67" t="n">
        <v>42142.0</v>
      </c>
      <c r="BH25" s="68" t="inlineStr">
        <is>
          <t/>
        </is>
      </c>
      <c r="BI25" s="69" t="inlineStr">
        <is>
          <t/>
        </is>
      </c>
      <c r="BJ25" s="70" t="inlineStr">
        <is>
          <t/>
        </is>
      </c>
      <c r="BK25" s="71" t="inlineStr">
        <is>
          <t/>
        </is>
      </c>
      <c r="BL25" s="72" t="inlineStr">
        <is>
          <t>Accelerator/Incubator</t>
        </is>
      </c>
      <c r="BM25" s="73" t="inlineStr">
        <is>
          <t/>
        </is>
      </c>
      <c r="BN25" s="74" t="inlineStr">
        <is>
          <t/>
        </is>
      </c>
      <c r="BO25" s="75" t="inlineStr">
        <is>
          <t>Other</t>
        </is>
      </c>
      <c r="BP25" s="76" t="inlineStr">
        <is>
          <t/>
        </is>
      </c>
      <c r="BQ25" s="77" t="inlineStr">
        <is>
          <t/>
        </is>
      </c>
      <c r="BR25" s="78" t="inlineStr">
        <is>
          <t/>
        </is>
      </c>
      <c r="BS25" s="79" t="inlineStr">
        <is>
          <t>Completed</t>
        </is>
      </c>
      <c r="BT25" s="80" t="n">
        <v>43045.0</v>
      </c>
      <c r="BU25" s="81" t="n">
        <v>0.75</v>
      </c>
      <c r="BV25" s="82" t="inlineStr">
        <is>
          <t>Actual</t>
        </is>
      </c>
      <c r="BW25" s="83" t="inlineStr">
        <is>
          <t/>
        </is>
      </c>
      <c r="BX25" s="84" t="inlineStr">
        <is>
          <t/>
        </is>
      </c>
      <c r="BY25" s="85" t="inlineStr">
        <is>
          <t>Seed Round</t>
        </is>
      </c>
      <c r="BZ25" s="86" t="inlineStr">
        <is>
          <t>Seed</t>
        </is>
      </c>
      <c r="CA25" s="87" t="inlineStr">
        <is>
          <t/>
        </is>
      </c>
      <c r="CB25" s="88" t="inlineStr">
        <is>
          <t>Venture Capital</t>
        </is>
      </c>
      <c r="CC25" s="89" t="inlineStr">
        <is>
          <t/>
        </is>
      </c>
      <c r="CD25" s="90" t="inlineStr">
        <is>
          <t/>
        </is>
      </c>
      <c r="CE25" s="91" t="inlineStr">
        <is>
          <t/>
        </is>
      </c>
      <c r="CF25" s="92" t="inlineStr">
        <is>
          <t>Completed</t>
        </is>
      </c>
      <c r="CG25" s="93" t="inlineStr">
        <is>
          <t>0,03%</t>
        </is>
      </c>
      <c r="CH25" s="94" t="inlineStr">
        <is>
          <t>76</t>
        </is>
      </c>
      <c r="CI25" s="95" t="inlineStr">
        <is>
          <t>0,02%</t>
        </is>
      </c>
      <c r="CJ25" s="96" t="inlineStr">
        <is>
          <t>135,62%</t>
        </is>
      </c>
      <c r="CK25" s="97" t="inlineStr">
        <is>
          <t>0,00%</t>
        </is>
      </c>
      <c r="CL25" s="98" t="inlineStr">
        <is>
          <t>28</t>
        </is>
      </c>
      <c r="CM25" s="99" t="inlineStr">
        <is>
          <t>0,06%</t>
        </is>
      </c>
      <c r="CN25" s="100" t="inlineStr">
        <is>
          <t>51</t>
        </is>
      </c>
      <c r="CO25" s="101" t="inlineStr">
        <is>
          <t/>
        </is>
      </c>
      <c r="CP25" s="102" t="inlineStr">
        <is>
          <t/>
        </is>
      </c>
      <c r="CQ25" s="103" t="inlineStr">
        <is>
          <t>0,00%</t>
        </is>
      </c>
      <c r="CR25" s="104" t="inlineStr">
        <is>
          <t>20</t>
        </is>
      </c>
      <c r="CS25" s="105" t="inlineStr">
        <is>
          <t>0,12%</t>
        </is>
      </c>
      <c r="CT25" s="106" t="inlineStr">
        <is>
          <t>60</t>
        </is>
      </c>
      <c r="CU25" s="107" t="inlineStr">
        <is>
          <t>0,00%</t>
        </is>
      </c>
      <c r="CV25" s="108" t="inlineStr">
        <is>
          <t>21</t>
        </is>
      </c>
      <c r="CW25" s="109" t="inlineStr">
        <is>
          <t>1,60x</t>
        </is>
      </c>
      <c r="CX25" s="110" t="inlineStr">
        <is>
          <t>60</t>
        </is>
      </c>
      <c r="CY25" s="111" t="inlineStr">
        <is>
          <t>-0,02x</t>
        </is>
      </c>
      <c r="CZ25" s="112" t="inlineStr">
        <is>
          <t>-1,10%</t>
        </is>
      </c>
      <c r="DA25" s="113" t="inlineStr">
        <is>
          <t>0,36x</t>
        </is>
      </c>
      <c r="DB25" s="114" t="inlineStr">
        <is>
          <t>27</t>
        </is>
      </c>
      <c r="DC25" s="115" t="inlineStr">
        <is>
          <t>2,84x</t>
        </is>
      </c>
      <c r="DD25" s="116" t="inlineStr">
        <is>
          <t>68</t>
        </is>
      </c>
      <c r="DE25" s="117" t="inlineStr">
        <is>
          <t/>
        </is>
      </c>
      <c r="DF25" s="118" t="inlineStr">
        <is>
          <t/>
        </is>
      </c>
      <c r="DG25" s="119" t="inlineStr">
        <is>
          <t>0,36x</t>
        </is>
      </c>
      <c r="DH25" s="120" t="inlineStr">
        <is>
          <t>29</t>
        </is>
      </c>
      <c r="DI25" s="121" t="inlineStr">
        <is>
          <t>0,40x</t>
        </is>
      </c>
      <c r="DJ25" s="122" t="inlineStr">
        <is>
          <t>35</t>
        </is>
      </c>
      <c r="DK25" s="123" t="inlineStr">
        <is>
          <t>5,27x</t>
        </is>
      </c>
      <c r="DL25" s="124" t="inlineStr">
        <is>
          <t>80</t>
        </is>
      </c>
      <c r="DM25" s="125" t="inlineStr">
        <is>
          <t/>
        </is>
      </c>
      <c r="DN25" s="126" t="inlineStr">
        <is>
          <t/>
        </is>
      </c>
      <c r="DO25" s="127" t="inlineStr">
        <is>
          <t/>
        </is>
      </c>
      <c r="DP25" s="128" t="inlineStr">
        <is>
          <t>315</t>
        </is>
      </c>
      <c r="DQ25" s="129" t="inlineStr">
        <is>
          <t>1</t>
        </is>
      </c>
      <c r="DR25" s="130" t="inlineStr">
        <is>
          <t>0,32%</t>
        </is>
      </c>
      <c r="DS25" s="131" t="inlineStr">
        <is>
          <t>13</t>
        </is>
      </c>
      <c r="DT25" s="132" t="inlineStr">
        <is>
          <t>0</t>
        </is>
      </c>
      <c r="DU25" s="133" t="inlineStr">
        <is>
          <t>0,00%</t>
        </is>
      </c>
      <c r="DV25" s="134" t="inlineStr">
        <is>
          <t>1.974</t>
        </is>
      </c>
      <c r="DW25" s="135" t="inlineStr">
        <is>
          <t>4</t>
        </is>
      </c>
      <c r="DX25" s="136" t="inlineStr">
        <is>
          <t>0,20%</t>
        </is>
      </c>
      <c r="DY25" s="137" t="inlineStr">
        <is>
          <t>PitchBook Research</t>
        </is>
      </c>
      <c r="DZ25" s="785">
        <f>HYPERLINK("https://my.pitchbook.com?c=96549-76", "View company online")</f>
      </c>
    </row>
    <row r="26">
      <c r="A26" s="139" t="inlineStr">
        <is>
          <t>181123-21</t>
        </is>
      </c>
      <c r="B26" s="140" t="inlineStr">
        <is>
          <t>Roomonitor</t>
        </is>
      </c>
      <c r="C26" s="141" t="inlineStr">
        <is>
          <t/>
        </is>
      </c>
      <c r="D26" s="142" t="inlineStr">
        <is>
          <t/>
        </is>
      </c>
      <c r="E26" s="143" t="inlineStr">
        <is>
          <t>181123-21</t>
        </is>
      </c>
      <c r="F26" s="144" t="inlineStr">
        <is>
          <t>Developer of a legal noise monitoring system designed to manage various aspects of vacation rental properties, hostel or hotel through a noise monitoring software. The company's legal noise monitoring system specializes in systems that monitor and control air conditioning for the hospitality industry, enabling landlords and hotel proprietors avoid the wasted costs and energy associated with overuse of air conditioning.</t>
        </is>
      </c>
      <c r="G26" s="145" t="inlineStr">
        <is>
          <t>Business Products and Services (B2B)</t>
        </is>
      </c>
      <c r="H26" s="146" t="inlineStr">
        <is>
          <t>Commercial Products</t>
        </is>
      </c>
      <c r="I26" s="147" t="inlineStr">
        <is>
          <t>Electrical Equipment</t>
        </is>
      </c>
      <c r="J26" s="148" t="inlineStr">
        <is>
          <t>Electrical Equipment*; Other Software</t>
        </is>
      </c>
      <c r="K26" s="149" t="inlineStr">
        <is>
          <t>Internet of Things</t>
        </is>
      </c>
      <c r="L26" s="150" t="inlineStr">
        <is>
          <t>Venture Capital-Backed</t>
        </is>
      </c>
      <c r="M26" s="151" t="n">
        <v>0.75</v>
      </c>
      <c r="N26" s="152" t="inlineStr">
        <is>
          <t>Generating Revenue</t>
        </is>
      </c>
      <c r="O26" s="153" t="inlineStr">
        <is>
          <t>Privately Held (backing)</t>
        </is>
      </c>
      <c r="P26" s="154" t="inlineStr">
        <is>
          <t>Venture Capital</t>
        </is>
      </c>
      <c r="Q26" s="155" t="inlineStr">
        <is>
          <t>www.roomonitor.com</t>
        </is>
      </c>
      <c r="R26" s="156" t="n">
        <v>18.0</v>
      </c>
      <c r="S26" s="157" t="inlineStr">
        <is>
          <t/>
        </is>
      </c>
      <c r="T26" s="158" t="inlineStr">
        <is>
          <t/>
        </is>
      </c>
      <c r="U26" s="159" t="n">
        <v>2015.0</v>
      </c>
      <c r="V26" s="160" t="inlineStr">
        <is>
          <t/>
        </is>
      </c>
      <c r="W26" s="161" t="inlineStr">
        <is>
          <t/>
        </is>
      </c>
      <c r="X26" s="162" t="inlineStr">
        <is>
          <t/>
        </is>
      </c>
      <c r="Y26" s="163" t="inlineStr">
        <is>
          <t/>
        </is>
      </c>
      <c r="Z26" s="164" t="inlineStr">
        <is>
          <t/>
        </is>
      </c>
      <c r="AA26" s="165" t="inlineStr">
        <is>
          <t/>
        </is>
      </c>
      <c r="AB26" s="166" t="inlineStr">
        <is>
          <t/>
        </is>
      </c>
      <c r="AC26" s="167" t="inlineStr">
        <is>
          <t/>
        </is>
      </c>
      <c r="AD26" s="168" t="inlineStr">
        <is>
          <t/>
        </is>
      </c>
      <c r="AE26" s="169" t="inlineStr">
        <is>
          <t>163362-25P</t>
        </is>
      </c>
      <c r="AF26" s="170" t="inlineStr">
        <is>
          <t>Eduardo Suárez</t>
        </is>
      </c>
      <c r="AG26" s="171" t="inlineStr">
        <is>
          <t>Co-Founder &amp; Chief Product Officer</t>
        </is>
      </c>
      <c r="AH26" s="172" t="inlineStr">
        <is>
          <t>eduardo@roomonitor.com</t>
        </is>
      </c>
      <c r="AI26" s="173" t="inlineStr">
        <is>
          <t>+34 90 083 4639</t>
        </is>
      </c>
      <c r="AJ26" s="174" t="inlineStr">
        <is>
          <t>Barcelona, Spain</t>
        </is>
      </c>
      <c r="AK26" s="175" t="inlineStr">
        <is>
          <t>Llacuna 162 - 164</t>
        </is>
      </c>
      <c r="AL26" s="176" t="inlineStr">
        <is>
          <t>Oficina 304</t>
        </is>
      </c>
      <c r="AM26" s="177" t="inlineStr">
        <is>
          <t>Barcelona</t>
        </is>
      </c>
      <c r="AN26" s="178" t="inlineStr">
        <is>
          <t/>
        </is>
      </c>
      <c r="AO26" s="179" t="inlineStr">
        <is>
          <t>08018</t>
        </is>
      </c>
      <c r="AP26" s="180" t="inlineStr">
        <is>
          <t>Spain</t>
        </is>
      </c>
      <c r="AQ26" s="181" t="inlineStr">
        <is>
          <t>+34 90 083 4639</t>
        </is>
      </c>
      <c r="AR26" s="182" t="inlineStr">
        <is>
          <t/>
        </is>
      </c>
      <c r="AS26" s="183" t="inlineStr">
        <is>
          <t>info@roomonitor.com</t>
        </is>
      </c>
      <c r="AT26" s="184" t="inlineStr">
        <is>
          <t>Europe</t>
        </is>
      </c>
      <c r="AU26" s="185" t="inlineStr">
        <is>
          <t>Southern Europe</t>
        </is>
      </c>
      <c r="AV26" s="186" t="inlineStr">
        <is>
          <t>The company raised EUR 750,000 of venture funding from OceanicIdeas, Sabadell Capital and Institut Català de Finances on September 18, 2017. As a part the transaction, Sabadell Capital invested through its BStartup10 fund.</t>
        </is>
      </c>
      <c r="AW26" s="187" t="inlineStr">
        <is>
          <t>BStartup10, ESADE BAN, Institut Català de Finances, OceanicIdeas, Sabadell Capital</t>
        </is>
      </c>
      <c r="AX26" s="188" t="n">
        <v>5.0</v>
      </c>
      <c r="AY26" s="189" t="inlineStr">
        <is>
          <t/>
        </is>
      </c>
      <c r="AZ26" s="190" t="inlineStr">
        <is>
          <t/>
        </is>
      </c>
      <c r="BA26" s="191" t="inlineStr">
        <is>
          <t/>
        </is>
      </c>
      <c r="BB26" s="192" t="inlineStr">
        <is>
          <t>ESADE BAN (www.esadeban.com), Institut Català de Finances (www.icf.cat), Sabadell Capital (bstartup.bancsabadell.com)</t>
        </is>
      </c>
      <c r="BC26" s="193" t="inlineStr">
        <is>
          <t/>
        </is>
      </c>
      <c r="BD26" s="194" t="inlineStr">
        <is>
          <t/>
        </is>
      </c>
      <c r="BE26" s="195" t="inlineStr">
        <is>
          <t/>
        </is>
      </c>
      <c r="BF26" s="196" t="inlineStr">
        <is>
          <t>Rousaud Costas Duran (Legal Advisor)</t>
        </is>
      </c>
      <c r="BG26" s="197" t="inlineStr">
        <is>
          <t/>
        </is>
      </c>
      <c r="BH26" s="198" t="inlineStr">
        <is>
          <t/>
        </is>
      </c>
      <c r="BI26" s="199" t="inlineStr">
        <is>
          <t/>
        </is>
      </c>
      <c r="BJ26" s="200" t="inlineStr">
        <is>
          <t/>
        </is>
      </c>
      <c r="BK26" s="201" t="inlineStr">
        <is>
          <t/>
        </is>
      </c>
      <c r="BL26" s="202" t="inlineStr">
        <is>
          <t>Angel (individual)</t>
        </is>
      </c>
      <c r="BM26" s="203" t="inlineStr">
        <is>
          <t>Angel</t>
        </is>
      </c>
      <c r="BN26" s="204" t="inlineStr">
        <is>
          <t/>
        </is>
      </c>
      <c r="BO26" s="205" t="inlineStr">
        <is>
          <t>Individual</t>
        </is>
      </c>
      <c r="BP26" s="206" t="inlineStr">
        <is>
          <t/>
        </is>
      </c>
      <c r="BQ26" s="207" t="inlineStr">
        <is>
          <t/>
        </is>
      </c>
      <c r="BR26" s="208" t="inlineStr">
        <is>
          <t/>
        </is>
      </c>
      <c r="BS26" s="209" t="inlineStr">
        <is>
          <t>Completed</t>
        </is>
      </c>
      <c r="BT26" s="210" t="n">
        <v>42996.0</v>
      </c>
      <c r="BU26" s="211" t="n">
        <v>0.75</v>
      </c>
      <c r="BV26" s="212" t="inlineStr">
        <is>
          <t>Actual</t>
        </is>
      </c>
      <c r="BW26" s="213" t="inlineStr">
        <is>
          <t/>
        </is>
      </c>
      <c r="BX26" s="214" t="inlineStr">
        <is>
          <t/>
        </is>
      </c>
      <c r="BY26" s="215" t="inlineStr">
        <is>
          <t>Early Stage VC</t>
        </is>
      </c>
      <c r="BZ26" s="216" t="inlineStr">
        <is>
          <t/>
        </is>
      </c>
      <c r="CA26" s="217" t="inlineStr">
        <is>
          <t/>
        </is>
      </c>
      <c r="CB26" s="218" t="inlineStr">
        <is>
          <t>Venture Capital</t>
        </is>
      </c>
      <c r="CC26" s="219" t="inlineStr">
        <is>
          <t/>
        </is>
      </c>
      <c r="CD26" s="220" t="inlineStr">
        <is>
          <t/>
        </is>
      </c>
      <c r="CE26" s="221" t="inlineStr">
        <is>
          <t/>
        </is>
      </c>
      <c r="CF26" s="222" t="inlineStr">
        <is>
          <t>Completed</t>
        </is>
      </c>
      <c r="CG26" s="223" t="inlineStr">
        <is>
          <t>0,28%</t>
        </is>
      </c>
      <c r="CH26" s="224" t="inlineStr">
        <is>
          <t>89</t>
        </is>
      </c>
      <c r="CI26" s="225" t="inlineStr">
        <is>
          <t>-0,06%</t>
        </is>
      </c>
      <c r="CJ26" s="226" t="inlineStr">
        <is>
          <t>-16,70%</t>
        </is>
      </c>
      <c r="CK26" s="227" t="inlineStr">
        <is>
          <t>0,00%</t>
        </is>
      </c>
      <c r="CL26" s="228" t="inlineStr">
        <is>
          <t>28</t>
        </is>
      </c>
      <c r="CM26" s="229" t="inlineStr">
        <is>
          <t>0,56%</t>
        </is>
      </c>
      <c r="CN26" s="230" t="inlineStr">
        <is>
          <t>90</t>
        </is>
      </c>
      <c r="CO26" s="231" t="inlineStr">
        <is>
          <t>0,00%</t>
        </is>
      </c>
      <c r="CP26" s="232" t="inlineStr">
        <is>
          <t>37</t>
        </is>
      </c>
      <c r="CQ26" s="233" t="inlineStr">
        <is>
          <t>0,00%</t>
        </is>
      </c>
      <c r="CR26" s="234" t="inlineStr">
        <is>
          <t>20</t>
        </is>
      </c>
      <c r="CS26" s="235" t="inlineStr">
        <is>
          <t>0,32%</t>
        </is>
      </c>
      <c r="CT26" s="236" t="inlineStr">
        <is>
          <t>79</t>
        </is>
      </c>
      <c r="CU26" s="237" t="inlineStr">
        <is>
          <t>0,80%</t>
        </is>
      </c>
      <c r="CV26" s="238" t="inlineStr">
        <is>
          <t>95</t>
        </is>
      </c>
      <c r="CW26" s="239" t="inlineStr">
        <is>
          <t>0,29x</t>
        </is>
      </c>
      <c r="CX26" s="240" t="inlineStr">
        <is>
          <t>22</t>
        </is>
      </c>
      <c r="CY26" s="241" t="inlineStr">
        <is>
          <t>0,00x</t>
        </is>
      </c>
      <c r="CZ26" s="242" t="inlineStr">
        <is>
          <t>-0,63%</t>
        </is>
      </c>
      <c r="DA26" s="243" t="inlineStr">
        <is>
          <t>0,22x</t>
        </is>
      </c>
      <c r="DB26" s="244" t="inlineStr">
        <is>
          <t>19</t>
        </is>
      </c>
      <c r="DC26" s="245" t="inlineStr">
        <is>
          <t>0,36x</t>
        </is>
      </c>
      <c r="DD26" s="246" t="inlineStr">
        <is>
          <t>30</t>
        </is>
      </c>
      <c r="DE26" s="247" t="inlineStr">
        <is>
          <t>0,10x</t>
        </is>
      </c>
      <c r="DF26" s="248" t="inlineStr">
        <is>
          <t>5</t>
        </is>
      </c>
      <c r="DG26" s="249" t="inlineStr">
        <is>
          <t>0,33x</t>
        </is>
      </c>
      <c r="DH26" s="250" t="inlineStr">
        <is>
          <t>27</t>
        </is>
      </c>
      <c r="DI26" s="251" t="inlineStr">
        <is>
          <t>0,15x</t>
        </is>
      </c>
      <c r="DJ26" s="252" t="inlineStr">
        <is>
          <t>19</t>
        </is>
      </c>
      <c r="DK26" s="253" t="inlineStr">
        <is>
          <t>0,56x</t>
        </is>
      </c>
      <c r="DL26" s="254" t="inlineStr">
        <is>
          <t>40</t>
        </is>
      </c>
      <c r="DM26" s="255" t="inlineStr">
        <is>
          <t>40</t>
        </is>
      </c>
      <c r="DN26" s="256" t="inlineStr">
        <is>
          <t>-18</t>
        </is>
      </c>
      <c r="DO26" s="257" t="inlineStr">
        <is>
          <t>-31,03%</t>
        </is>
      </c>
      <c r="DP26" s="258" t="inlineStr">
        <is>
          <t>118</t>
        </is>
      </c>
      <c r="DQ26" s="259" t="inlineStr">
        <is>
          <t>1</t>
        </is>
      </c>
      <c r="DR26" s="260" t="inlineStr">
        <is>
          <t>0,85%</t>
        </is>
      </c>
      <c r="DS26" s="261" t="inlineStr">
        <is>
          <t>12</t>
        </is>
      </c>
      <c r="DT26" s="262" t="inlineStr">
        <is>
          <t>0</t>
        </is>
      </c>
      <c r="DU26" s="263" t="inlineStr">
        <is>
          <t>0,00%</t>
        </is>
      </c>
      <c r="DV26" s="264" t="inlineStr">
        <is>
          <t>210</t>
        </is>
      </c>
      <c r="DW26" s="265" t="inlineStr">
        <is>
          <t>1</t>
        </is>
      </c>
      <c r="DX26" s="266" t="inlineStr">
        <is>
          <t>0,48%</t>
        </is>
      </c>
      <c r="DY26" s="267" t="inlineStr">
        <is>
          <t>PitchBook Research</t>
        </is>
      </c>
      <c r="DZ26" s="786">
        <f>HYPERLINK("https://my.pitchbook.com?c=181123-21", "View company online")</f>
      </c>
    </row>
    <row r="27">
      <c r="A27" s="9" t="inlineStr">
        <is>
          <t>129177-73</t>
        </is>
      </c>
      <c r="B27" s="10" t="inlineStr">
        <is>
          <t>Piligrim XXI</t>
        </is>
      </c>
      <c r="C27" s="11" t="inlineStr">
        <is>
          <t/>
        </is>
      </c>
      <c r="D27" s="12" t="inlineStr">
        <is>
          <t/>
        </is>
      </c>
      <c r="E27" s="13" t="inlineStr">
        <is>
          <t>129177-73</t>
        </is>
      </c>
      <c r="F27" s="14" t="inlineStr">
        <is>
          <t>Developer of an augmented reality platform designed to offer a virtual site seeing experience. The company's augmented reality platform offers a global grid of outdoor AR parks, enabling tourists to have an amazing experience, combining their real trip with the time travel.</t>
        </is>
      </c>
      <c r="G27" s="15" t="inlineStr">
        <is>
          <t>Information Technology</t>
        </is>
      </c>
      <c r="H27" s="16" t="inlineStr">
        <is>
          <t>Software</t>
        </is>
      </c>
      <c r="I27" s="17" t="inlineStr">
        <is>
          <t>Application Software</t>
        </is>
      </c>
      <c r="J27" s="18" t="inlineStr">
        <is>
          <t>Application Software*; Social/Platform Software</t>
        </is>
      </c>
      <c r="K27" s="19" t="inlineStr">
        <is>
          <t>Mobile, Virtual Reality</t>
        </is>
      </c>
      <c r="L27" s="20" t="inlineStr">
        <is>
          <t>Accelerator/Incubator Backed</t>
        </is>
      </c>
      <c r="M27" s="21" t="n">
        <v>0.79</v>
      </c>
      <c r="N27" s="22" t="inlineStr">
        <is>
          <t>Startup</t>
        </is>
      </c>
      <c r="O27" s="23" t="inlineStr">
        <is>
          <t>Privately Held (backing)</t>
        </is>
      </c>
      <c r="P27" s="24" t="inlineStr">
        <is>
          <t>Pre-venture, Private Equity</t>
        </is>
      </c>
      <c r="Q27" s="25" t="inlineStr">
        <is>
          <t>www.piligrimxxi.com</t>
        </is>
      </c>
      <c r="R27" s="26" t="inlineStr">
        <is>
          <t/>
        </is>
      </c>
      <c r="S27" s="27" t="inlineStr">
        <is>
          <t/>
        </is>
      </c>
      <c r="T27" s="28" t="inlineStr">
        <is>
          <t/>
        </is>
      </c>
      <c r="U27" s="29" t="n">
        <v>2013.0</v>
      </c>
      <c r="V27" s="30" t="inlineStr">
        <is>
          <t/>
        </is>
      </c>
      <c r="W27" s="31" t="inlineStr">
        <is>
          <t/>
        </is>
      </c>
      <c r="X27" s="32" t="inlineStr">
        <is>
          <t/>
        </is>
      </c>
      <c r="Y27" s="33" t="inlineStr">
        <is>
          <t/>
        </is>
      </c>
      <c r="Z27" s="34" t="inlineStr">
        <is>
          <t/>
        </is>
      </c>
      <c r="AA27" s="35" t="inlineStr">
        <is>
          <t/>
        </is>
      </c>
      <c r="AB27" s="36" t="inlineStr">
        <is>
          <t/>
        </is>
      </c>
      <c r="AC27" s="37" t="inlineStr">
        <is>
          <t/>
        </is>
      </c>
      <c r="AD27" s="38" t="inlineStr">
        <is>
          <t/>
        </is>
      </c>
      <c r="AE27" s="39" t="inlineStr">
        <is>
          <t>119917-63P</t>
        </is>
      </c>
      <c r="AF27" s="40" t="inlineStr">
        <is>
          <t>Diana Sorina</t>
        </is>
      </c>
      <c r="AG27" s="41" t="inlineStr">
        <is>
          <t>Co-Founder &amp; Chief Marketing Officer</t>
        </is>
      </c>
      <c r="AH27" s="42" t="inlineStr">
        <is>
          <t/>
        </is>
      </c>
      <c r="AI27" s="43" t="inlineStr">
        <is>
          <t>+7 (8)911 846 4979</t>
        </is>
      </c>
      <c r="AJ27" s="44" t="inlineStr">
        <is>
          <t>Saint Petersburg, Russia</t>
        </is>
      </c>
      <c r="AK27" s="45" t="inlineStr">
        <is>
          <t>Pr. Medikov, 3</t>
        </is>
      </c>
      <c r="AL27" s="46" t="inlineStr">
        <is>
          <t/>
        </is>
      </c>
      <c r="AM27" s="47" t="inlineStr">
        <is>
          <t>Saint Petersburg</t>
        </is>
      </c>
      <c r="AN27" s="48" t="inlineStr">
        <is>
          <t/>
        </is>
      </c>
      <c r="AO27" s="49" t="inlineStr">
        <is>
          <t>197022</t>
        </is>
      </c>
      <c r="AP27" s="50" t="inlineStr">
        <is>
          <t>Russia</t>
        </is>
      </c>
      <c r="AQ27" s="51" t="inlineStr">
        <is>
          <t>+7 (8)911 846 4979</t>
        </is>
      </c>
      <c r="AR27" s="52" t="inlineStr">
        <is>
          <t/>
        </is>
      </c>
      <c r="AS27" s="53" t="inlineStr">
        <is>
          <t>info@piligrimxxi.com</t>
        </is>
      </c>
      <c r="AT27" s="54" t="inlineStr">
        <is>
          <t>Europe</t>
        </is>
      </c>
      <c r="AU27" s="55" t="inlineStr">
        <is>
          <t>Eastern Europe</t>
        </is>
      </c>
      <c r="AV27" s="56" t="inlineStr">
        <is>
          <t>The company raised $650,000 of angel funding from undisclosed investors in September 2017. The funding will be used for the development of its new project Arcona. Previously, fond Predposevnykh Investitsiy sold a 25% stake in the company to Way2Wow for an undisclosed amount on November 03, 2016.</t>
        </is>
      </c>
      <c r="AW27" s="57" t="inlineStr">
        <is>
          <t>FASIE, Google Developers LaunchPad, Ingria Business Incubator, Intel New Business Accelerator, Numa, Skolkovo Foundation, Way2Wow</t>
        </is>
      </c>
      <c r="AX27" s="58" t="n">
        <v>7.0</v>
      </c>
      <c r="AY27" s="59" t="inlineStr">
        <is>
          <t/>
        </is>
      </c>
      <c r="AZ27" s="60" t="inlineStr">
        <is>
          <t>Fond Predposevnykh Investitsiy</t>
        </is>
      </c>
      <c r="BA27" s="61" t="inlineStr">
        <is>
          <t/>
        </is>
      </c>
      <c r="BB27" s="62" t="inlineStr">
        <is>
          <t>FASIE (www.fasie.ru), Google Developers LaunchPad (developers.google.com), Ingria Business Incubator (ingria-startup.ru), Numa (www.numa.co), Skolkovo Foundation (www.sk.ru)</t>
        </is>
      </c>
      <c r="BC27" s="63" t="inlineStr">
        <is>
          <t>Fond Predposevnykh Investitsiy (pre-seed.ru)</t>
        </is>
      </c>
      <c r="BD27" s="64" t="inlineStr">
        <is>
          <t/>
        </is>
      </c>
      <c r="BE27" s="65" t="inlineStr">
        <is>
          <t/>
        </is>
      </c>
      <c r="BF27" s="66" t="inlineStr">
        <is>
          <t/>
        </is>
      </c>
      <c r="BG27" s="67" t="n">
        <v>41456.0</v>
      </c>
      <c r="BH27" s="68" t="n">
        <v>0.08</v>
      </c>
      <c r="BI27" s="69" t="inlineStr">
        <is>
          <t>Actual</t>
        </is>
      </c>
      <c r="BJ27" s="70" t="inlineStr">
        <is>
          <t/>
        </is>
      </c>
      <c r="BK27" s="71" t="inlineStr">
        <is>
          <t/>
        </is>
      </c>
      <c r="BL27" s="72" t="inlineStr">
        <is>
          <t>Angel (individual)</t>
        </is>
      </c>
      <c r="BM27" s="73" t="inlineStr">
        <is>
          <t>Angel</t>
        </is>
      </c>
      <c r="BN27" s="74" t="inlineStr">
        <is>
          <t/>
        </is>
      </c>
      <c r="BO27" s="75" t="inlineStr">
        <is>
          <t>Individual</t>
        </is>
      </c>
      <c r="BP27" s="76" t="inlineStr">
        <is>
          <t/>
        </is>
      </c>
      <c r="BQ27" s="77" t="inlineStr">
        <is>
          <t/>
        </is>
      </c>
      <c r="BR27" s="78" t="inlineStr">
        <is>
          <t/>
        </is>
      </c>
      <c r="BS27" s="79" t="inlineStr">
        <is>
          <t>Completed</t>
        </is>
      </c>
      <c r="BT27" s="80" t="n">
        <v>42979.0</v>
      </c>
      <c r="BU27" s="81" t="n">
        <v>0.55</v>
      </c>
      <c r="BV27" s="82" t="inlineStr">
        <is>
          <t>Actual</t>
        </is>
      </c>
      <c r="BW27" s="83" t="inlineStr">
        <is>
          <t/>
        </is>
      </c>
      <c r="BX27" s="84" t="inlineStr">
        <is>
          <t/>
        </is>
      </c>
      <c r="BY27" s="85" t="inlineStr">
        <is>
          <t>Angel (individual)</t>
        </is>
      </c>
      <c r="BZ27" s="86" t="inlineStr">
        <is>
          <t>Angel</t>
        </is>
      </c>
      <c r="CA27" s="87" t="inlineStr">
        <is>
          <t/>
        </is>
      </c>
      <c r="CB27" s="88" t="inlineStr">
        <is>
          <t>Individual</t>
        </is>
      </c>
      <c r="CC27" s="89" t="inlineStr">
        <is>
          <t/>
        </is>
      </c>
      <c r="CD27" s="90" t="inlineStr">
        <is>
          <t/>
        </is>
      </c>
      <c r="CE27" s="91" t="inlineStr">
        <is>
          <t/>
        </is>
      </c>
      <c r="CF27" s="92" t="inlineStr">
        <is>
          <t>Completed</t>
        </is>
      </c>
      <c r="CG27" s="93" t="inlineStr">
        <is>
          <t>0,97%</t>
        </is>
      </c>
      <c r="CH27" s="94" t="inlineStr">
        <is>
          <t>95</t>
        </is>
      </c>
      <c r="CI27" s="95" t="inlineStr">
        <is>
          <t>-0,03%</t>
        </is>
      </c>
      <c r="CJ27" s="96" t="inlineStr">
        <is>
          <t>-3,45%</t>
        </is>
      </c>
      <c r="CK27" s="97" t="inlineStr">
        <is>
          <t>1,09%</t>
        </is>
      </c>
      <c r="CL27" s="98" t="inlineStr">
        <is>
          <t>95</t>
        </is>
      </c>
      <c r="CM27" s="99" t="inlineStr">
        <is>
          <t>0,84%</t>
        </is>
      </c>
      <c r="CN27" s="100" t="inlineStr">
        <is>
          <t>94</t>
        </is>
      </c>
      <c r="CO27" s="101" t="inlineStr">
        <is>
          <t>0,00%</t>
        </is>
      </c>
      <c r="CP27" s="102" t="inlineStr">
        <is>
          <t>37</t>
        </is>
      </c>
      <c r="CQ27" s="103" t="inlineStr">
        <is>
          <t>2,18%</t>
        </is>
      </c>
      <c r="CR27" s="104" t="inlineStr">
        <is>
          <t>96</t>
        </is>
      </c>
      <c r="CS27" s="105" t="inlineStr">
        <is>
          <t>0,76%</t>
        </is>
      </c>
      <c r="CT27" s="106" t="inlineStr">
        <is>
          <t>92</t>
        </is>
      </c>
      <c r="CU27" s="107" t="inlineStr">
        <is>
          <t>0,92%</t>
        </is>
      </c>
      <c r="CV27" s="108" t="inlineStr">
        <is>
          <t>96</t>
        </is>
      </c>
      <c r="CW27" s="109" t="inlineStr">
        <is>
          <t>2,20x</t>
        </is>
      </c>
      <c r="CX27" s="110" t="inlineStr">
        <is>
          <t>66</t>
        </is>
      </c>
      <c r="CY27" s="111" t="inlineStr">
        <is>
          <t>-0,01x</t>
        </is>
      </c>
      <c r="CZ27" s="112" t="inlineStr">
        <is>
          <t>-0,42%</t>
        </is>
      </c>
      <c r="DA27" s="113" t="inlineStr">
        <is>
          <t>4,03x</t>
        </is>
      </c>
      <c r="DB27" s="114" t="inlineStr">
        <is>
          <t>78</t>
        </is>
      </c>
      <c r="DC27" s="115" t="inlineStr">
        <is>
          <t>0,38x</t>
        </is>
      </c>
      <c r="DD27" s="116" t="inlineStr">
        <is>
          <t>31</t>
        </is>
      </c>
      <c r="DE27" s="117" t="inlineStr">
        <is>
          <t>2,09x</t>
        </is>
      </c>
      <c r="DF27" s="118" t="inlineStr">
        <is>
          <t>67</t>
        </is>
      </c>
      <c r="DG27" s="119" t="inlineStr">
        <is>
          <t>5,97x</t>
        </is>
      </c>
      <c r="DH27" s="120" t="inlineStr">
        <is>
          <t>81</t>
        </is>
      </c>
      <c r="DI27" s="121" t="inlineStr">
        <is>
          <t>0,45x</t>
        </is>
      </c>
      <c r="DJ27" s="122" t="inlineStr">
        <is>
          <t>37</t>
        </is>
      </c>
      <c r="DK27" s="123" t="inlineStr">
        <is>
          <t>0,30x</t>
        </is>
      </c>
      <c r="DL27" s="124" t="inlineStr">
        <is>
          <t>30</t>
        </is>
      </c>
      <c r="DM27" s="125" t="inlineStr">
        <is>
          <t>759</t>
        </is>
      </c>
      <c r="DN27" s="126" t="inlineStr">
        <is>
          <t>46</t>
        </is>
      </c>
      <c r="DO27" s="127" t="inlineStr">
        <is>
          <t>6,45%</t>
        </is>
      </c>
      <c r="DP27" s="128" t="inlineStr">
        <is>
          <t>358</t>
        </is>
      </c>
      <c r="DQ27" s="129" t="inlineStr">
        <is>
          <t>0</t>
        </is>
      </c>
      <c r="DR27" s="130" t="inlineStr">
        <is>
          <t>0,00%</t>
        </is>
      </c>
      <c r="DS27" s="131" t="inlineStr">
        <is>
          <t>215</t>
        </is>
      </c>
      <c r="DT27" s="132" t="inlineStr">
        <is>
          <t>1</t>
        </is>
      </c>
      <c r="DU27" s="133" t="inlineStr">
        <is>
          <t>0,47%</t>
        </is>
      </c>
      <c r="DV27" s="134" t="inlineStr">
        <is>
          <t>114</t>
        </is>
      </c>
      <c r="DW27" s="135" t="inlineStr">
        <is>
          <t>-1</t>
        </is>
      </c>
      <c r="DX27" s="136" t="inlineStr">
        <is>
          <t>-0,87%</t>
        </is>
      </c>
      <c r="DY27" s="137" t="inlineStr">
        <is>
          <t>PitchBook Research</t>
        </is>
      </c>
      <c r="DZ27" s="785">
        <f>HYPERLINK("https://my.pitchbook.com?c=129177-73", "View company online")</f>
      </c>
    </row>
    <row r="28">
      <c r="A28" s="139" t="inlineStr">
        <is>
          <t>85179-34</t>
        </is>
      </c>
      <c r="B28" s="140" t="inlineStr">
        <is>
          <t>GetCompliant</t>
        </is>
      </c>
      <c r="C28" s="141" t="inlineStr">
        <is>
          <t/>
        </is>
      </c>
      <c r="D28" s="142" t="inlineStr">
        <is>
          <t/>
        </is>
      </c>
      <c r="E28" s="143" t="inlineStr">
        <is>
          <t>85179-34</t>
        </is>
      </c>
      <c r="F28" s="144" t="inlineStr">
        <is>
          <t>Provider of a cloud-based platform intended to digitalize work environment. The company's cloud-based platform provides a digital operations manual with task management and checklists to help large and small chains to manage their branches while facilitating the workforce of the staff, enabling retail and restaurant chains to save time, secure compliance and reach set goals in everyday life.</t>
        </is>
      </c>
      <c r="G28" s="145" t="inlineStr">
        <is>
          <t>Information Technology</t>
        </is>
      </c>
      <c r="H28" s="146" t="inlineStr">
        <is>
          <t>Software</t>
        </is>
      </c>
      <c r="I28" s="147" t="inlineStr">
        <is>
          <t>Business/Productivity Software</t>
        </is>
      </c>
      <c r="J28" s="148" t="inlineStr">
        <is>
          <t>Business/Productivity Software*; Social/Platform Software</t>
        </is>
      </c>
      <c r="K28" s="149" t="inlineStr">
        <is>
          <t>Mobile, SaaS</t>
        </is>
      </c>
      <c r="L28" s="150" t="inlineStr">
        <is>
          <t>Angel-Backed</t>
        </is>
      </c>
      <c r="M28" s="151" t="n">
        <v>0.84</v>
      </c>
      <c r="N28" s="152" t="inlineStr">
        <is>
          <t>Generating Revenue</t>
        </is>
      </c>
      <c r="O28" s="153" t="inlineStr">
        <is>
          <t>Privately Held (backing)</t>
        </is>
      </c>
      <c r="P28" s="154" t="inlineStr">
        <is>
          <t>Pre-venture</t>
        </is>
      </c>
      <c r="Q28" s="155" t="inlineStr">
        <is>
          <t>www.getcompliant.com</t>
        </is>
      </c>
      <c r="R28" s="156" t="n">
        <v>6.0</v>
      </c>
      <c r="S28" s="157" t="inlineStr">
        <is>
          <t/>
        </is>
      </c>
      <c r="T28" s="158" t="inlineStr">
        <is>
          <t/>
        </is>
      </c>
      <c r="U28" s="159" t="n">
        <v>2013.0</v>
      </c>
      <c r="V28" s="160" t="inlineStr">
        <is>
          <t/>
        </is>
      </c>
      <c r="W28" s="161" t="inlineStr">
        <is>
          <t/>
        </is>
      </c>
      <c r="X28" s="162" t="inlineStr">
        <is>
          <t/>
        </is>
      </c>
      <c r="Y28" s="163" t="n">
        <v>0.57864</v>
      </c>
      <c r="Z28" s="164" t="inlineStr">
        <is>
          <t/>
        </is>
      </c>
      <c r="AA28" s="165" t="n">
        <v>-0.01897</v>
      </c>
      <c r="AB28" s="166" t="inlineStr">
        <is>
          <t/>
        </is>
      </c>
      <c r="AC28" s="167" t="n">
        <v>-0.01897</v>
      </c>
      <c r="AD28" s="168" t="inlineStr">
        <is>
          <t>FY 2016</t>
        </is>
      </c>
      <c r="AE28" s="169" t="inlineStr">
        <is>
          <t>171376-93P</t>
        </is>
      </c>
      <c r="AF28" s="170" t="inlineStr">
        <is>
          <t>Peder Lindencrona</t>
        </is>
      </c>
      <c r="AG28" s="171" t="inlineStr">
        <is>
          <t>Founder &amp; Chief Executive Officer</t>
        </is>
      </c>
      <c r="AH28" s="172" t="inlineStr">
        <is>
          <t>peder.lindencrona@getcompliant.com</t>
        </is>
      </c>
      <c r="AI28" s="173" t="inlineStr">
        <is>
          <t>+46 (0)8 20 01 27</t>
        </is>
      </c>
      <c r="AJ28" s="174" t="inlineStr">
        <is>
          <t>Stockholm, Sweden</t>
        </is>
      </c>
      <c r="AK28" s="175" t="inlineStr">
        <is>
          <t>MAILBOX 3540</t>
        </is>
      </c>
      <c r="AL28" s="176" t="inlineStr">
        <is>
          <t/>
        </is>
      </c>
      <c r="AM28" s="177" t="inlineStr">
        <is>
          <t>Stockholm</t>
        </is>
      </c>
      <c r="AN28" s="178" t="inlineStr">
        <is>
          <t/>
        </is>
      </c>
      <c r="AO28" s="179" t="inlineStr">
        <is>
          <t>111 74</t>
        </is>
      </c>
      <c r="AP28" s="180" t="inlineStr">
        <is>
          <t>Sweden</t>
        </is>
      </c>
      <c r="AQ28" s="181" t="inlineStr">
        <is>
          <t>+46 (0)8 20 01 27</t>
        </is>
      </c>
      <c r="AR28" s="182" t="inlineStr">
        <is>
          <t/>
        </is>
      </c>
      <c r="AS28" s="183" t="inlineStr">
        <is>
          <t>info@getcompliant.org</t>
        </is>
      </c>
      <c r="AT28" s="184" t="inlineStr">
        <is>
          <t>Europe</t>
        </is>
      </c>
      <c r="AU28" s="185" t="inlineStr">
        <is>
          <t>Northern Europe</t>
        </is>
      </c>
      <c r="AV28" s="186" t="inlineStr">
        <is>
          <t>The company raised SEK 8 million of Seed funding from Daniel Soussan and David Frykman on September 11, 2017, putting the company's pre-money valuation at SEK 17 million. The capital will be used for marketing the company outside Sweden.</t>
        </is>
      </c>
      <c r="AW28" s="187" t="inlineStr">
        <is>
          <t>Daniel Soussan, David Frykman</t>
        </is>
      </c>
      <c r="AX28" s="188" t="n">
        <v>2.0</v>
      </c>
      <c r="AY28" s="189" t="inlineStr">
        <is>
          <t/>
        </is>
      </c>
      <c r="AZ28" s="190" t="inlineStr">
        <is>
          <t/>
        </is>
      </c>
      <c r="BA28" s="191" t="inlineStr">
        <is>
          <t/>
        </is>
      </c>
      <c r="BB28" s="192" t="inlineStr">
        <is>
          <t/>
        </is>
      </c>
      <c r="BC28" s="193" t="inlineStr">
        <is>
          <t/>
        </is>
      </c>
      <c r="BD28" s="194" t="inlineStr">
        <is>
          <t/>
        </is>
      </c>
      <c r="BE28" s="195" t="inlineStr">
        <is>
          <t/>
        </is>
      </c>
      <c r="BF28" s="196" t="inlineStr">
        <is>
          <t/>
        </is>
      </c>
      <c r="BG28" s="197" t="n">
        <v>42989.0</v>
      </c>
      <c r="BH28" s="198" t="n">
        <v>0.84</v>
      </c>
      <c r="BI28" s="199" t="inlineStr">
        <is>
          <t>Actual</t>
        </is>
      </c>
      <c r="BJ28" s="200" t="n">
        <v>2.62</v>
      </c>
      <c r="BK28" s="201" t="inlineStr">
        <is>
          <t>Estimated</t>
        </is>
      </c>
      <c r="BL28" s="202" t="inlineStr">
        <is>
          <t>Seed Round</t>
        </is>
      </c>
      <c r="BM28" s="203" t="inlineStr">
        <is>
          <t>Seed</t>
        </is>
      </c>
      <c r="BN28" s="204" t="inlineStr">
        <is>
          <t/>
        </is>
      </c>
      <c r="BO28" s="205" t="inlineStr">
        <is>
          <t>Individual</t>
        </is>
      </c>
      <c r="BP28" s="206" t="inlineStr">
        <is>
          <t/>
        </is>
      </c>
      <c r="BQ28" s="207" t="inlineStr">
        <is>
          <t/>
        </is>
      </c>
      <c r="BR28" s="208" t="inlineStr">
        <is>
          <t/>
        </is>
      </c>
      <c r="BS28" s="209" t="inlineStr">
        <is>
          <t>Completed</t>
        </is>
      </c>
      <c r="BT28" s="210" t="n">
        <v>42989.0</v>
      </c>
      <c r="BU28" s="211" t="n">
        <v>0.84</v>
      </c>
      <c r="BV28" s="212" t="inlineStr">
        <is>
          <t>Actual</t>
        </is>
      </c>
      <c r="BW28" s="213" t="n">
        <v>2.62</v>
      </c>
      <c r="BX28" s="214" t="inlineStr">
        <is>
          <t>Estimated</t>
        </is>
      </c>
      <c r="BY28" s="215" t="inlineStr">
        <is>
          <t>Seed Round</t>
        </is>
      </c>
      <c r="BZ28" s="216" t="inlineStr">
        <is>
          <t>Seed</t>
        </is>
      </c>
      <c r="CA28" s="217" t="inlineStr">
        <is>
          <t/>
        </is>
      </c>
      <c r="CB28" s="218" t="inlineStr">
        <is>
          <t>Individual</t>
        </is>
      </c>
      <c r="CC28" s="219" t="inlineStr">
        <is>
          <t/>
        </is>
      </c>
      <c r="CD28" s="220" t="inlineStr">
        <is>
          <t/>
        </is>
      </c>
      <c r="CE28" s="221" t="inlineStr">
        <is>
          <t/>
        </is>
      </c>
      <c r="CF28" s="222" t="inlineStr">
        <is>
          <t>Completed</t>
        </is>
      </c>
      <c r="CG28" s="223" t="inlineStr">
        <is>
          <t>0,00%</t>
        </is>
      </c>
      <c r="CH28" s="224" t="inlineStr">
        <is>
          <t>33</t>
        </is>
      </c>
      <c r="CI28" s="225" t="inlineStr">
        <is>
          <t>0,00%</t>
        </is>
      </c>
      <c r="CJ28" s="226" t="inlineStr">
        <is>
          <t>0,00%</t>
        </is>
      </c>
      <c r="CK28" s="227" t="inlineStr">
        <is>
          <t/>
        </is>
      </c>
      <c r="CL28" s="228" t="inlineStr">
        <is>
          <t/>
        </is>
      </c>
      <c r="CM28" s="229" t="inlineStr">
        <is>
          <t>0,00%</t>
        </is>
      </c>
      <c r="CN28" s="230" t="inlineStr">
        <is>
          <t>20</t>
        </is>
      </c>
      <c r="CO28" s="231" t="inlineStr">
        <is>
          <t/>
        </is>
      </c>
      <c r="CP28" s="232" t="inlineStr">
        <is>
          <t/>
        </is>
      </c>
      <c r="CQ28" s="233" t="inlineStr">
        <is>
          <t/>
        </is>
      </c>
      <c r="CR28" s="234" t="inlineStr">
        <is>
          <t/>
        </is>
      </c>
      <c r="CS28" s="235" t="inlineStr">
        <is>
          <t>0,00%</t>
        </is>
      </c>
      <c r="CT28" s="236" t="inlineStr">
        <is>
          <t>18</t>
        </is>
      </c>
      <c r="CU28" s="237" t="inlineStr">
        <is>
          <t>0,00%</t>
        </is>
      </c>
      <c r="CV28" s="238" t="inlineStr">
        <is>
          <t>21</t>
        </is>
      </c>
      <c r="CW28" s="239" t="inlineStr">
        <is>
          <t>0,06x</t>
        </is>
      </c>
      <c r="CX28" s="240" t="inlineStr">
        <is>
          <t>4</t>
        </is>
      </c>
      <c r="CY28" s="241" t="inlineStr">
        <is>
          <t>-0,02x</t>
        </is>
      </c>
      <c r="CZ28" s="242" t="inlineStr">
        <is>
          <t>-27,03%</t>
        </is>
      </c>
      <c r="DA28" s="243" t="inlineStr">
        <is>
          <t/>
        </is>
      </c>
      <c r="DB28" s="244" t="inlineStr">
        <is>
          <t/>
        </is>
      </c>
      <c r="DC28" s="245" t="inlineStr">
        <is>
          <t>0,06x</t>
        </is>
      </c>
      <c r="DD28" s="246" t="inlineStr">
        <is>
          <t>9</t>
        </is>
      </c>
      <c r="DE28" s="247" t="inlineStr">
        <is>
          <t/>
        </is>
      </c>
      <c r="DF28" s="248" t="inlineStr">
        <is>
          <t/>
        </is>
      </c>
      <c r="DG28" s="249" t="inlineStr">
        <is>
          <t/>
        </is>
      </c>
      <c r="DH28" s="250" t="inlineStr">
        <is>
          <t/>
        </is>
      </c>
      <c r="DI28" s="251" t="inlineStr">
        <is>
          <t>0,08x</t>
        </is>
      </c>
      <c r="DJ28" s="252" t="inlineStr">
        <is>
          <t>12</t>
        </is>
      </c>
      <c r="DK28" s="253" t="inlineStr">
        <is>
          <t>0,04x</t>
        </is>
      </c>
      <c r="DL28" s="254" t="inlineStr">
        <is>
          <t>9</t>
        </is>
      </c>
      <c r="DM28" s="255" t="inlineStr">
        <is>
          <t/>
        </is>
      </c>
      <c r="DN28" s="256" t="inlineStr">
        <is>
          <t/>
        </is>
      </c>
      <c r="DO28" s="257" t="inlineStr">
        <is>
          <t/>
        </is>
      </c>
      <c r="DP28" s="258" t="inlineStr">
        <is>
          <t>63</t>
        </is>
      </c>
      <c r="DQ28" s="259" t="inlineStr">
        <is>
          <t>1</t>
        </is>
      </c>
      <c r="DR28" s="260" t="inlineStr">
        <is>
          <t>1,61%</t>
        </is>
      </c>
      <c r="DS28" s="261" t="inlineStr">
        <is>
          <t/>
        </is>
      </c>
      <c r="DT28" s="262" t="inlineStr">
        <is>
          <t/>
        </is>
      </c>
      <c r="DU28" s="263" t="inlineStr">
        <is>
          <t/>
        </is>
      </c>
      <c r="DV28" s="264" t="inlineStr">
        <is>
          <t>14</t>
        </is>
      </c>
      <c r="DW28" s="265" t="inlineStr">
        <is>
          <t>-1</t>
        </is>
      </c>
      <c r="DX28" s="266" t="inlineStr">
        <is>
          <t>-6,67%</t>
        </is>
      </c>
      <c r="DY28" s="267" t="inlineStr">
        <is>
          <t>PitchBook Research</t>
        </is>
      </c>
      <c r="DZ28" s="786">
        <f>HYPERLINK("https://my.pitchbook.com?c=85179-34", "View company online")</f>
      </c>
    </row>
    <row r="29">
      <c r="A29" s="9" t="inlineStr">
        <is>
          <t>171254-62</t>
        </is>
      </c>
      <c r="B29" s="10" t="inlineStr">
        <is>
          <t>FoodFlow</t>
        </is>
      </c>
      <c r="C29" s="11" t="inlineStr">
        <is>
          <t/>
        </is>
      </c>
      <c r="D29" s="12" t="inlineStr">
        <is>
          <t/>
        </is>
      </c>
      <c r="E29" s="13" t="inlineStr">
        <is>
          <t>171254-62</t>
        </is>
      </c>
      <c r="F29" s="14" t="inlineStr">
        <is>
          <t>Developer of a digital platform designed to help retail stores and restaurants to manage all their customers and orders in one platform. The company's digital platform, Stockfiller, acts as a link between stores and external suppliers and offers communication services in relation with trading, enabling suppliers, distributors and sales organizations to easily integrate with business systems and logistics partners and eliminate all manual work linked to order receipt, billing delivery.</t>
        </is>
      </c>
      <c r="G29" s="15" t="inlineStr">
        <is>
          <t>Business Products and Services (B2B)</t>
        </is>
      </c>
      <c r="H29" s="16" t="inlineStr">
        <is>
          <t>Other Business Products and Services</t>
        </is>
      </c>
      <c r="I29" s="17" t="inlineStr">
        <is>
          <t>Other Business Products and Services</t>
        </is>
      </c>
      <c r="J29" s="18" t="inlineStr">
        <is>
          <t>Other Business Products and Services*</t>
        </is>
      </c>
      <c r="K29" s="19" t="inlineStr">
        <is>
          <t>SaaS</t>
        </is>
      </c>
      <c r="L29" s="20" t="inlineStr">
        <is>
          <t>Venture Capital-Backed</t>
        </is>
      </c>
      <c r="M29" s="21" t="n">
        <v>0.84</v>
      </c>
      <c r="N29" s="22" t="inlineStr">
        <is>
          <t>Generating Revenue</t>
        </is>
      </c>
      <c r="O29" s="23" t="inlineStr">
        <is>
          <t>Privately Held (backing)</t>
        </is>
      </c>
      <c r="P29" s="24" t="inlineStr">
        <is>
          <t>Venture Capital</t>
        </is>
      </c>
      <c r="Q29" s="25" t="inlineStr">
        <is>
          <t>www.foodflow.io</t>
        </is>
      </c>
      <c r="R29" s="26" t="inlineStr">
        <is>
          <t/>
        </is>
      </c>
      <c r="S29" s="27" t="inlineStr">
        <is>
          <t/>
        </is>
      </c>
      <c r="T29" s="28" t="inlineStr">
        <is>
          <t/>
        </is>
      </c>
      <c r="U29" s="29" t="n">
        <v>2014.0</v>
      </c>
      <c r="V29" s="30" t="inlineStr">
        <is>
          <t/>
        </is>
      </c>
      <c r="W29" s="31" t="inlineStr">
        <is>
          <t/>
        </is>
      </c>
      <c r="X29" s="32" t="inlineStr">
        <is>
          <t/>
        </is>
      </c>
      <c r="Y29" s="33" t="inlineStr">
        <is>
          <t/>
        </is>
      </c>
      <c r="Z29" s="34" t="inlineStr">
        <is>
          <t/>
        </is>
      </c>
      <c r="AA29" s="35" t="inlineStr">
        <is>
          <t/>
        </is>
      </c>
      <c r="AB29" s="36" t="inlineStr">
        <is>
          <t/>
        </is>
      </c>
      <c r="AC29" s="37" t="inlineStr">
        <is>
          <t/>
        </is>
      </c>
      <c r="AD29" s="38" t="inlineStr">
        <is>
          <t/>
        </is>
      </c>
      <c r="AE29" s="39" t="inlineStr">
        <is>
          <t>129350-26P</t>
        </is>
      </c>
      <c r="AF29" s="40" t="inlineStr">
        <is>
          <t>Jesper Jannesson</t>
        </is>
      </c>
      <c r="AG29" s="41" t="inlineStr">
        <is>
          <t>Co-Founder</t>
        </is>
      </c>
      <c r="AH29" s="42" t="inlineStr">
        <is>
          <t>jesper@gourmetli.com</t>
        </is>
      </c>
      <c r="AI29" s="43" t="inlineStr">
        <is>
          <t/>
        </is>
      </c>
      <c r="AJ29" s="44" t="inlineStr">
        <is>
          <t>Stockholm, Sweden</t>
        </is>
      </c>
      <c r="AK29" s="45" t="inlineStr">
        <is>
          <t>Vasagatan 16</t>
        </is>
      </c>
      <c r="AL29" s="46" t="inlineStr">
        <is>
          <t>Convendum</t>
        </is>
      </c>
      <c r="AM29" s="47" t="inlineStr">
        <is>
          <t>Stockholm</t>
        </is>
      </c>
      <c r="AN29" s="48" t="inlineStr">
        <is>
          <t/>
        </is>
      </c>
      <c r="AO29" s="49" t="inlineStr">
        <is>
          <t>111 20</t>
        </is>
      </c>
      <c r="AP29" s="50" t="inlineStr">
        <is>
          <t>Sweden</t>
        </is>
      </c>
      <c r="AQ29" s="51" t="inlineStr">
        <is>
          <t>+46 (0)8 128 211 30</t>
        </is>
      </c>
      <c r="AR29" s="52" t="inlineStr">
        <is>
          <t/>
        </is>
      </c>
      <c r="AS29" s="53" t="inlineStr">
        <is>
          <t/>
        </is>
      </c>
      <c r="AT29" s="54" t="inlineStr">
        <is>
          <t>Europe</t>
        </is>
      </c>
      <c r="AU29" s="55" t="inlineStr">
        <is>
          <t>Northern Europe</t>
        </is>
      </c>
      <c r="AV29" s="56" t="inlineStr">
        <is>
          <t>The company raised SEK 8 million of venture funding from Nouvago Capital, Aggregate and Patrik Reese on September 29, 2017.</t>
        </is>
      </c>
      <c r="AW29" s="57" t="inlineStr">
        <is>
          <t>Aggregate, Nouvago Capital, Patrik Reese</t>
        </is>
      </c>
      <c r="AX29" s="58" t="n">
        <v>3.0</v>
      </c>
      <c r="AY29" s="59" t="inlineStr">
        <is>
          <t/>
        </is>
      </c>
      <c r="AZ29" s="60" t="inlineStr">
        <is>
          <t/>
        </is>
      </c>
      <c r="BA29" s="61" t="inlineStr">
        <is>
          <t/>
        </is>
      </c>
      <c r="BB29" s="62" t="inlineStr">
        <is>
          <t>Aggregate (www.aggregate.se), Nouvago Capital (www.nouvago.com)</t>
        </is>
      </c>
      <c r="BC29" s="63" t="inlineStr">
        <is>
          <t/>
        </is>
      </c>
      <c r="BD29" s="64" t="inlineStr">
        <is>
          <t/>
        </is>
      </c>
      <c r="BE29" s="65" t="inlineStr">
        <is>
          <t/>
        </is>
      </c>
      <c r="BF29" s="66" t="inlineStr">
        <is>
          <t/>
        </is>
      </c>
      <c r="BG29" s="67" t="n">
        <v>43007.0</v>
      </c>
      <c r="BH29" s="68" t="n">
        <v>0.84</v>
      </c>
      <c r="BI29" s="69" t="inlineStr">
        <is>
          <t>Actual</t>
        </is>
      </c>
      <c r="BJ29" s="70" t="inlineStr">
        <is>
          <t/>
        </is>
      </c>
      <c r="BK29" s="71" t="inlineStr">
        <is>
          <t/>
        </is>
      </c>
      <c r="BL29" s="72" t="inlineStr">
        <is>
          <t>Early Stage VC</t>
        </is>
      </c>
      <c r="BM29" s="73" t="inlineStr">
        <is>
          <t/>
        </is>
      </c>
      <c r="BN29" s="74" t="inlineStr">
        <is>
          <t/>
        </is>
      </c>
      <c r="BO29" s="75" t="inlineStr">
        <is>
          <t>Venture Capital</t>
        </is>
      </c>
      <c r="BP29" s="76" t="inlineStr">
        <is>
          <t/>
        </is>
      </c>
      <c r="BQ29" s="77" t="inlineStr">
        <is>
          <t/>
        </is>
      </c>
      <c r="BR29" s="78" t="inlineStr">
        <is>
          <t/>
        </is>
      </c>
      <c r="BS29" s="79" t="inlineStr">
        <is>
          <t>Completed</t>
        </is>
      </c>
      <c r="BT29" s="80" t="n">
        <v>43007.0</v>
      </c>
      <c r="BU29" s="81" t="n">
        <v>0.84</v>
      </c>
      <c r="BV29" s="82" t="inlineStr">
        <is>
          <t>Actual</t>
        </is>
      </c>
      <c r="BW29" s="83" t="inlineStr">
        <is>
          <t/>
        </is>
      </c>
      <c r="BX29" s="84" t="inlineStr">
        <is>
          <t/>
        </is>
      </c>
      <c r="BY29" s="85" t="inlineStr">
        <is>
          <t>Early Stage VC</t>
        </is>
      </c>
      <c r="BZ29" s="86" t="inlineStr">
        <is>
          <t/>
        </is>
      </c>
      <c r="CA29" s="87" t="inlineStr">
        <is>
          <t/>
        </is>
      </c>
      <c r="CB29" s="88" t="inlineStr">
        <is>
          <t>Venture Capital</t>
        </is>
      </c>
      <c r="CC29" s="89" t="inlineStr">
        <is>
          <t/>
        </is>
      </c>
      <c r="CD29" s="90" t="inlineStr">
        <is>
          <t/>
        </is>
      </c>
      <c r="CE29" s="91" t="inlineStr">
        <is>
          <t/>
        </is>
      </c>
      <c r="CF29" s="92" t="inlineStr">
        <is>
          <t>Completed</t>
        </is>
      </c>
      <c r="CG29" s="93" t="inlineStr">
        <is>
          <t>0,00%</t>
        </is>
      </c>
      <c r="CH29" s="94" t="inlineStr">
        <is>
          <t>33</t>
        </is>
      </c>
      <c r="CI29" s="95" t="inlineStr">
        <is>
          <t>0,00%</t>
        </is>
      </c>
      <c r="CJ29" s="96" t="inlineStr">
        <is>
          <t>0,00%</t>
        </is>
      </c>
      <c r="CK29" s="97" t="inlineStr">
        <is>
          <t>0,00%</t>
        </is>
      </c>
      <c r="CL29" s="98" t="inlineStr">
        <is>
          <t>28</t>
        </is>
      </c>
      <c r="CM29" s="99" t="inlineStr">
        <is>
          <t/>
        </is>
      </c>
      <c r="CN29" s="100" t="inlineStr">
        <is>
          <t/>
        </is>
      </c>
      <c r="CO29" s="101" t="inlineStr">
        <is>
          <t>0,00%</t>
        </is>
      </c>
      <c r="CP29" s="102" t="inlineStr">
        <is>
          <t>37</t>
        </is>
      </c>
      <c r="CQ29" s="103" t="inlineStr">
        <is>
          <t/>
        </is>
      </c>
      <c r="CR29" s="104" t="inlineStr">
        <is>
          <t/>
        </is>
      </c>
      <c r="CS29" s="105" t="inlineStr">
        <is>
          <t/>
        </is>
      </c>
      <c r="CT29" s="106" t="inlineStr">
        <is>
          <t/>
        </is>
      </c>
      <c r="CU29" s="107" t="inlineStr">
        <is>
          <t/>
        </is>
      </c>
      <c r="CV29" s="108" t="inlineStr">
        <is>
          <t/>
        </is>
      </c>
      <c r="CW29" s="109" t="inlineStr">
        <is>
          <t>0,09x</t>
        </is>
      </c>
      <c r="CX29" s="110" t="inlineStr">
        <is>
          <t>8</t>
        </is>
      </c>
      <c r="CY29" s="111" t="inlineStr">
        <is>
          <t>0,00x</t>
        </is>
      </c>
      <c r="CZ29" s="112" t="inlineStr">
        <is>
          <t>0,00%</t>
        </is>
      </c>
      <c r="DA29" s="113" t="inlineStr">
        <is>
          <t>0,09x</t>
        </is>
      </c>
      <c r="DB29" s="114" t="inlineStr">
        <is>
          <t>10</t>
        </is>
      </c>
      <c r="DC29" s="115" t="inlineStr">
        <is>
          <t/>
        </is>
      </c>
      <c r="DD29" s="116" t="inlineStr">
        <is>
          <t/>
        </is>
      </c>
      <c r="DE29" s="117" t="inlineStr">
        <is>
          <t>0,09x</t>
        </is>
      </c>
      <c r="DF29" s="118" t="inlineStr">
        <is>
          <t>4</t>
        </is>
      </c>
      <c r="DG29" s="119" t="inlineStr">
        <is>
          <t/>
        </is>
      </c>
      <c r="DH29" s="120" t="inlineStr">
        <is>
          <t/>
        </is>
      </c>
      <c r="DI29" s="121" t="inlineStr">
        <is>
          <t/>
        </is>
      </c>
      <c r="DJ29" s="122" t="inlineStr">
        <is>
          <t/>
        </is>
      </c>
      <c r="DK29" s="123" t="inlineStr">
        <is>
          <t/>
        </is>
      </c>
      <c r="DL29" s="124" t="inlineStr">
        <is>
          <t/>
        </is>
      </c>
      <c r="DM29" s="125" t="inlineStr">
        <is>
          <t>38</t>
        </is>
      </c>
      <c r="DN29" s="126" t="inlineStr">
        <is>
          <t>-19</t>
        </is>
      </c>
      <c r="DO29" s="127" t="inlineStr">
        <is>
          <t>-33,33%</t>
        </is>
      </c>
      <c r="DP29" s="128" t="inlineStr">
        <is>
          <t/>
        </is>
      </c>
      <c r="DQ29" s="129" t="inlineStr">
        <is>
          <t/>
        </is>
      </c>
      <c r="DR29" s="130" t="inlineStr">
        <is>
          <t/>
        </is>
      </c>
      <c r="DS29" s="131" t="inlineStr">
        <is>
          <t/>
        </is>
      </c>
      <c r="DT29" s="132" t="inlineStr">
        <is>
          <t/>
        </is>
      </c>
      <c r="DU29" s="133" t="inlineStr">
        <is>
          <t/>
        </is>
      </c>
      <c r="DV29" s="134" t="inlineStr">
        <is>
          <t/>
        </is>
      </c>
      <c r="DW29" s="135" t="inlineStr">
        <is>
          <t/>
        </is>
      </c>
      <c r="DX29" s="136" t="inlineStr">
        <is>
          <t/>
        </is>
      </c>
      <c r="DY29" s="137" t="inlineStr">
        <is>
          <t>PitchBook Research</t>
        </is>
      </c>
      <c r="DZ29" s="785">
        <f>HYPERLINK("https://my.pitchbook.com?c=171254-62", "View company online")</f>
      </c>
    </row>
    <row r="30">
      <c r="A30" s="139" t="inlineStr">
        <is>
          <t>171630-10</t>
        </is>
      </c>
      <c r="B30" s="140" t="inlineStr">
        <is>
          <t>5Analytics</t>
        </is>
      </c>
      <c r="C30" s="141" t="inlineStr">
        <is>
          <t/>
        </is>
      </c>
      <c r="D30" s="142" t="inlineStr">
        <is>
          <t/>
        </is>
      </c>
      <c r="E30" s="143" t="inlineStr">
        <is>
          <t>171630-10</t>
        </is>
      </c>
      <c r="F30" s="144" t="inlineStr">
        <is>
          <t>Developer of an artificial intelligence software platform designed to enable automation of important commercial decisions and implementation of digital business models. The company's software platform permits sales management, customer retention management, recommendation engine, process optimization, predictive maintenance analysis and dynamic pricing, enabling companies to integrate artificial intelligence and real-time analytics into their business processes and increase revenue.</t>
        </is>
      </c>
      <c r="G30" s="145" t="inlineStr">
        <is>
          <t>Information Technology</t>
        </is>
      </c>
      <c r="H30" s="146" t="inlineStr">
        <is>
          <t>Software</t>
        </is>
      </c>
      <c r="I30" s="147" t="inlineStr">
        <is>
          <t>Business/Productivity Software</t>
        </is>
      </c>
      <c r="J30" s="148" t="inlineStr">
        <is>
          <t>Business/Productivity Software*; Automation/Workflow Software</t>
        </is>
      </c>
      <c r="K30" s="149" t="inlineStr">
        <is>
          <t>Artificial Intelligence &amp; Machine Learning, Big Data</t>
        </is>
      </c>
      <c r="L30" s="150" t="inlineStr">
        <is>
          <t>Venture Capital-Backed</t>
        </is>
      </c>
      <c r="M30" s="151" t="n">
        <v>0.84</v>
      </c>
      <c r="N30" s="152" t="inlineStr">
        <is>
          <t>Generating Revenue</t>
        </is>
      </c>
      <c r="O30" s="153" t="inlineStr">
        <is>
          <t>Privately Held (backing)</t>
        </is>
      </c>
      <c r="P30" s="154" t="inlineStr">
        <is>
          <t>Venture Capital</t>
        </is>
      </c>
      <c r="Q30" s="155" t="inlineStr">
        <is>
          <t>www.5analytics.com</t>
        </is>
      </c>
      <c r="R30" s="156" t="n">
        <v>6.0</v>
      </c>
      <c r="S30" s="157" t="inlineStr">
        <is>
          <t/>
        </is>
      </c>
      <c r="T30" s="158" t="inlineStr">
        <is>
          <t/>
        </is>
      </c>
      <c r="U30" s="159" t="n">
        <v>2016.0</v>
      </c>
      <c r="V30" s="160" t="inlineStr">
        <is>
          <t/>
        </is>
      </c>
      <c r="W30" s="161" t="inlineStr">
        <is>
          <t/>
        </is>
      </c>
      <c r="X30" s="162" t="inlineStr">
        <is>
          <t/>
        </is>
      </c>
      <c r="Y30" s="163" t="n">
        <v>0.16126</v>
      </c>
      <c r="Z30" s="164" t="inlineStr">
        <is>
          <t/>
        </is>
      </c>
      <c r="AA30" s="165" t="inlineStr">
        <is>
          <t/>
        </is>
      </c>
      <c r="AB30" s="166" t="inlineStr">
        <is>
          <t/>
        </is>
      </c>
      <c r="AC30" s="167" t="inlineStr">
        <is>
          <t/>
        </is>
      </c>
      <c r="AD30" s="168" t="inlineStr">
        <is>
          <t>FY 2016</t>
        </is>
      </c>
      <c r="AE30" s="169" t="inlineStr">
        <is>
          <t>160696-63P</t>
        </is>
      </c>
      <c r="AF30" s="170" t="inlineStr">
        <is>
          <t>Stefan Soehnle</t>
        </is>
      </c>
      <c r="AG30" s="171" t="inlineStr">
        <is>
          <t>Co-Founder, Chief Operations Officer &amp; Operations Director</t>
        </is>
      </c>
      <c r="AH30" s="172" t="inlineStr">
        <is>
          <t>stefan.soehnle@5analytics.com</t>
        </is>
      </c>
      <c r="AI30" s="173" t="inlineStr">
        <is>
          <t>+49 (0)71 1217 2070 5</t>
        </is>
      </c>
      <c r="AJ30" s="174" t="inlineStr">
        <is>
          <t>Köngen, Germany</t>
        </is>
      </c>
      <c r="AK30" s="175" t="inlineStr">
        <is>
          <t>Wolf-Hirth-Weg 3</t>
        </is>
      </c>
      <c r="AL30" s="176" t="inlineStr">
        <is>
          <t/>
        </is>
      </c>
      <c r="AM30" s="177" t="inlineStr">
        <is>
          <t>Köngen</t>
        </is>
      </c>
      <c r="AN30" s="178" t="inlineStr">
        <is>
          <t/>
        </is>
      </c>
      <c r="AO30" s="179" t="inlineStr">
        <is>
          <t>73257</t>
        </is>
      </c>
      <c r="AP30" s="180" t="inlineStr">
        <is>
          <t>Germany</t>
        </is>
      </c>
      <c r="AQ30" s="181" t="inlineStr">
        <is>
          <t>+49 (0)71 1217 2070 5</t>
        </is>
      </c>
      <c r="AR30" s="182" t="inlineStr">
        <is>
          <t/>
        </is>
      </c>
      <c r="AS30" s="183" t="inlineStr">
        <is>
          <t>info@5analytics.com</t>
        </is>
      </c>
      <c r="AT30" s="184" t="inlineStr">
        <is>
          <t>Europe</t>
        </is>
      </c>
      <c r="AU30" s="185" t="inlineStr">
        <is>
          <t>Western Europe</t>
        </is>
      </c>
      <c r="AV30" s="186" t="inlineStr">
        <is>
          <t>The company raised EUR 800,000 of venture funding from Wayra, High-Tech Gründerfonds and Mittelständische Beteiligungsgesellschaft Baden-Württemberg on October 12, 2017.</t>
        </is>
      </c>
      <c r="AW30" s="187" t="inlineStr">
        <is>
          <t>High-Tech Gründerfonds, Mittelständische Beteiligungsgesellschaft Baden-Württemberg, Wayra</t>
        </is>
      </c>
      <c r="AX30" s="188" t="n">
        <v>3.0</v>
      </c>
      <c r="AY30" s="189" t="inlineStr">
        <is>
          <t/>
        </is>
      </c>
      <c r="AZ30" s="190" t="inlineStr">
        <is>
          <t/>
        </is>
      </c>
      <c r="BA30" s="191" t="inlineStr">
        <is>
          <t/>
        </is>
      </c>
      <c r="BB30" s="192" t="inlineStr">
        <is>
          <t>High-Tech Gründerfonds (www.high-tech-gruenderfonds.de), Mittelständische Beteiligungsgesellschaft Baden-Württemberg (www.mbg.de), Wayra (wayra.co)</t>
        </is>
      </c>
      <c r="BC30" s="193" t="inlineStr">
        <is>
          <t/>
        </is>
      </c>
      <c r="BD30" s="194" t="inlineStr">
        <is>
          <t/>
        </is>
      </c>
      <c r="BE30" s="195" t="inlineStr">
        <is>
          <t/>
        </is>
      </c>
      <c r="BF30" s="196" t="inlineStr">
        <is>
          <t/>
        </is>
      </c>
      <c r="BG30" s="197" t="n">
        <v>42583.0</v>
      </c>
      <c r="BH30" s="198" t="n">
        <v>0.04</v>
      </c>
      <c r="BI30" s="199" t="inlineStr">
        <is>
          <t>Actual</t>
        </is>
      </c>
      <c r="BJ30" s="200" t="inlineStr">
        <is>
          <t/>
        </is>
      </c>
      <c r="BK30" s="201" t="inlineStr">
        <is>
          <t/>
        </is>
      </c>
      <c r="BL30" s="202" t="inlineStr">
        <is>
          <t>Accelerator/Incubator</t>
        </is>
      </c>
      <c r="BM30" s="203" t="inlineStr">
        <is>
          <t/>
        </is>
      </c>
      <c r="BN30" s="204" t="inlineStr">
        <is>
          <t/>
        </is>
      </c>
      <c r="BO30" s="205" t="inlineStr">
        <is>
          <t>Other</t>
        </is>
      </c>
      <c r="BP30" s="206" t="inlineStr">
        <is>
          <t>Convertible Debt</t>
        </is>
      </c>
      <c r="BQ30" s="207" t="inlineStr">
        <is>
          <t/>
        </is>
      </c>
      <c r="BR30" s="208" t="inlineStr">
        <is>
          <t/>
        </is>
      </c>
      <c r="BS30" s="209" t="inlineStr">
        <is>
          <t>Completed</t>
        </is>
      </c>
      <c r="BT30" s="210" t="n">
        <v>43020.0</v>
      </c>
      <c r="BU30" s="211" t="n">
        <v>0.8</v>
      </c>
      <c r="BV30" s="212" t="inlineStr">
        <is>
          <t>Actual</t>
        </is>
      </c>
      <c r="BW30" s="213" t="inlineStr">
        <is>
          <t/>
        </is>
      </c>
      <c r="BX30" s="214" t="inlineStr">
        <is>
          <t/>
        </is>
      </c>
      <c r="BY30" s="215" t="inlineStr">
        <is>
          <t>Early Stage VC</t>
        </is>
      </c>
      <c r="BZ30" s="216" t="inlineStr">
        <is>
          <t/>
        </is>
      </c>
      <c r="CA30" s="217" t="inlineStr">
        <is>
          <t/>
        </is>
      </c>
      <c r="CB30" s="218" t="inlineStr">
        <is>
          <t>Venture Capital</t>
        </is>
      </c>
      <c r="CC30" s="219" t="inlineStr">
        <is>
          <t/>
        </is>
      </c>
      <c r="CD30" s="220" t="inlineStr">
        <is>
          <t/>
        </is>
      </c>
      <c r="CE30" s="221" t="inlineStr">
        <is>
          <t/>
        </is>
      </c>
      <c r="CF30" s="222" t="inlineStr">
        <is>
          <t>Completed</t>
        </is>
      </c>
      <c r="CG30" s="223" t="inlineStr">
        <is>
          <t>0,00%</t>
        </is>
      </c>
      <c r="CH30" s="224" t="inlineStr">
        <is>
          <t>33</t>
        </is>
      </c>
      <c r="CI30" s="225" t="inlineStr">
        <is>
          <t>0,00%</t>
        </is>
      </c>
      <c r="CJ30" s="226" t="inlineStr">
        <is>
          <t>0,00%</t>
        </is>
      </c>
      <c r="CK30" s="227" t="inlineStr">
        <is>
          <t>0,00%</t>
        </is>
      </c>
      <c r="CL30" s="228" t="inlineStr">
        <is>
          <t>28</t>
        </is>
      </c>
      <c r="CM30" s="229" t="inlineStr">
        <is>
          <t>0,00%</t>
        </is>
      </c>
      <c r="CN30" s="230" t="inlineStr">
        <is>
          <t>20</t>
        </is>
      </c>
      <c r="CO30" s="231" t="inlineStr">
        <is>
          <t>0,00%</t>
        </is>
      </c>
      <c r="CP30" s="232" t="inlineStr">
        <is>
          <t>37</t>
        </is>
      </c>
      <c r="CQ30" s="233" t="inlineStr">
        <is>
          <t>0,00%</t>
        </is>
      </c>
      <c r="CR30" s="234" t="inlineStr">
        <is>
          <t>20</t>
        </is>
      </c>
      <c r="CS30" s="235" t="inlineStr">
        <is>
          <t/>
        </is>
      </c>
      <c r="CT30" s="236" t="inlineStr">
        <is>
          <t/>
        </is>
      </c>
      <c r="CU30" s="237" t="inlineStr">
        <is>
          <t>0,00%</t>
        </is>
      </c>
      <c r="CV30" s="238" t="inlineStr">
        <is>
          <t>21</t>
        </is>
      </c>
      <c r="CW30" s="239" t="inlineStr">
        <is>
          <t>0,80x</t>
        </is>
      </c>
      <c r="CX30" s="240" t="inlineStr">
        <is>
          <t>44</t>
        </is>
      </c>
      <c r="CY30" s="241" t="inlineStr">
        <is>
          <t>0,05x</t>
        </is>
      </c>
      <c r="CZ30" s="242" t="inlineStr">
        <is>
          <t>6,85%</t>
        </is>
      </c>
      <c r="DA30" s="243" t="inlineStr">
        <is>
          <t>1,39x</t>
        </is>
      </c>
      <c r="DB30" s="244" t="inlineStr">
        <is>
          <t>59</t>
        </is>
      </c>
      <c r="DC30" s="245" t="inlineStr">
        <is>
          <t>0,22x</t>
        </is>
      </c>
      <c r="DD30" s="246" t="inlineStr">
        <is>
          <t>22</t>
        </is>
      </c>
      <c r="DE30" s="247" t="inlineStr">
        <is>
          <t>1,13x</t>
        </is>
      </c>
      <c r="DF30" s="248" t="inlineStr">
        <is>
          <t>53</t>
        </is>
      </c>
      <c r="DG30" s="249" t="inlineStr">
        <is>
          <t>1,64x</t>
        </is>
      </c>
      <c r="DH30" s="250" t="inlineStr">
        <is>
          <t>61</t>
        </is>
      </c>
      <c r="DI30" s="251" t="inlineStr">
        <is>
          <t/>
        </is>
      </c>
      <c r="DJ30" s="252" t="inlineStr">
        <is>
          <t/>
        </is>
      </c>
      <c r="DK30" s="253" t="inlineStr">
        <is>
          <t>0,22x</t>
        </is>
      </c>
      <c r="DL30" s="254" t="inlineStr">
        <is>
          <t>26</t>
        </is>
      </c>
      <c r="DM30" s="255" t="inlineStr">
        <is>
          <t>408</t>
        </is>
      </c>
      <c r="DN30" s="256" t="inlineStr">
        <is>
          <t>63</t>
        </is>
      </c>
      <c r="DO30" s="257" t="inlineStr">
        <is>
          <t>18,26%</t>
        </is>
      </c>
      <c r="DP30" s="258" t="inlineStr">
        <is>
          <t/>
        </is>
      </c>
      <c r="DQ30" s="259" t="inlineStr">
        <is>
          <t/>
        </is>
      </c>
      <c r="DR30" s="260" t="inlineStr">
        <is>
          <t/>
        </is>
      </c>
      <c r="DS30" s="261" t="inlineStr">
        <is>
          <t>56</t>
        </is>
      </c>
      <c r="DT30" s="262" t="inlineStr">
        <is>
          <t>4</t>
        </is>
      </c>
      <c r="DU30" s="263" t="inlineStr">
        <is>
          <t>7,69%</t>
        </is>
      </c>
      <c r="DV30" s="264" t="inlineStr">
        <is>
          <t>80</t>
        </is>
      </c>
      <c r="DW30" s="265" t="inlineStr">
        <is>
          <t>3</t>
        </is>
      </c>
      <c r="DX30" s="266" t="inlineStr">
        <is>
          <t>3,90%</t>
        </is>
      </c>
      <c r="DY30" s="267" t="inlineStr">
        <is>
          <t>PitchBook Research</t>
        </is>
      </c>
      <c r="DZ30" s="786">
        <f>HYPERLINK("https://my.pitchbook.com?c=171630-10", "View company online")</f>
      </c>
    </row>
    <row r="31">
      <c r="A31" s="9" t="inlineStr">
        <is>
          <t>186661-18</t>
        </is>
      </c>
      <c r="B31" s="10" t="inlineStr">
        <is>
          <t>Countingup</t>
        </is>
      </c>
      <c r="C31" s="11" t="inlineStr">
        <is>
          <t/>
        </is>
      </c>
      <c r="D31" s="12" t="inlineStr">
        <is>
          <t/>
        </is>
      </c>
      <c r="E31" s="13" t="inlineStr">
        <is>
          <t>186661-18</t>
        </is>
      </c>
      <c r="F31" s="14" t="inlineStr">
        <is>
          <t>Developer of a business current account and accounting software created to simplify the life of sole traders by reinventing the business bank account. The company's business current account and accounting software are a one-person enterprises business banking and accounting software which is merged to automate bookkeeping and filing accounts. It offers services like a current account, corporate contactless MasterCard, Automated receipts, automated accounting and tax calculated and filed, enabling businesses to get everything they want in one software to run their organization.</t>
        </is>
      </c>
      <c r="G31" s="15" t="inlineStr">
        <is>
          <t>Information Technology</t>
        </is>
      </c>
      <c r="H31" s="16" t="inlineStr">
        <is>
          <t>Software</t>
        </is>
      </c>
      <c r="I31" s="17" t="inlineStr">
        <is>
          <t>Financial Software</t>
        </is>
      </c>
      <c r="J31" s="18" t="inlineStr">
        <is>
          <t>Financial Software*</t>
        </is>
      </c>
      <c r="K31" s="19" t="inlineStr">
        <is>
          <t>FinTech, Mobile, SaaS</t>
        </is>
      </c>
      <c r="L31" s="20" t="inlineStr">
        <is>
          <t>Venture Capital-Backed</t>
        </is>
      </c>
      <c r="M31" s="21" t="n">
        <v>0.84</v>
      </c>
      <c r="N31" s="22" t="inlineStr">
        <is>
          <t>Generating Revenue</t>
        </is>
      </c>
      <c r="O31" s="23" t="inlineStr">
        <is>
          <t>Privately Held (backing)</t>
        </is>
      </c>
      <c r="P31" s="24" t="inlineStr">
        <is>
          <t>Venture Capital</t>
        </is>
      </c>
      <c r="Q31" s="25" t="inlineStr">
        <is>
          <t>countingup.com</t>
        </is>
      </c>
      <c r="R31" s="26" t="inlineStr">
        <is>
          <t/>
        </is>
      </c>
      <c r="S31" s="27" t="inlineStr">
        <is>
          <t/>
        </is>
      </c>
      <c r="T31" s="28" t="inlineStr">
        <is>
          <t/>
        </is>
      </c>
      <c r="U31" s="29" t="n">
        <v>2017.0</v>
      </c>
      <c r="V31" s="30" t="inlineStr">
        <is>
          <t/>
        </is>
      </c>
      <c r="W31" s="31" t="inlineStr">
        <is>
          <t/>
        </is>
      </c>
      <c r="X31" s="32" t="inlineStr">
        <is>
          <t/>
        </is>
      </c>
      <c r="Y31" s="33" t="inlineStr">
        <is>
          <t/>
        </is>
      </c>
      <c r="Z31" s="34" t="inlineStr">
        <is>
          <t/>
        </is>
      </c>
      <c r="AA31" s="35" t="inlineStr">
        <is>
          <t/>
        </is>
      </c>
      <c r="AB31" s="36" t="inlineStr">
        <is>
          <t/>
        </is>
      </c>
      <c r="AC31" s="37" t="inlineStr">
        <is>
          <t/>
        </is>
      </c>
      <c r="AD31" s="38" t="inlineStr">
        <is>
          <t/>
        </is>
      </c>
      <c r="AE31" s="39" t="inlineStr">
        <is>
          <t>94646-35P</t>
        </is>
      </c>
      <c r="AF31" s="40" t="inlineStr">
        <is>
          <t>Tim Fouracre</t>
        </is>
      </c>
      <c r="AG31" s="41" t="inlineStr">
        <is>
          <t>Chief Executive Officer &amp; Founder</t>
        </is>
      </c>
      <c r="AH31" s="42" t="inlineStr">
        <is>
          <t>tim.fouracre@countingup.com</t>
        </is>
      </c>
      <c r="AI31" s="43" t="inlineStr">
        <is>
          <t/>
        </is>
      </c>
      <c r="AJ31" s="44" t="inlineStr">
        <is>
          <t>London, United Kingdom</t>
        </is>
      </c>
      <c r="AK31" s="45" t="inlineStr">
        <is>
          <t>Huckletree West, 191 Wood Lane</t>
        </is>
      </c>
      <c r="AL31" s="46" t="inlineStr">
        <is>
          <t>White City</t>
        </is>
      </c>
      <c r="AM31" s="47" t="inlineStr">
        <is>
          <t>London</t>
        </is>
      </c>
      <c r="AN31" s="48" t="inlineStr">
        <is>
          <t>England</t>
        </is>
      </c>
      <c r="AO31" s="49" t="inlineStr">
        <is>
          <t>W12 7FP</t>
        </is>
      </c>
      <c r="AP31" s="50" t="inlineStr">
        <is>
          <t>United Kingdom</t>
        </is>
      </c>
      <c r="AQ31" s="51" t="inlineStr">
        <is>
          <t/>
        </is>
      </c>
      <c r="AR31" s="52" t="inlineStr">
        <is>
          <t/>
        </is>
      </c>
      <c r="AS31" s="53" t="inlineStr">
        <is>
          <t>help@countingup.com</t>
        </is>
      </c>
      <c r="AT31" s="54" t="inlineStr">
        <is>
          <t>Europe</t>
        </is>
      </c>
      <c r="AU31" s="55" t="inlineStr">
        <is>
          <t>Western Europe</t>
        </is>
      </c>
      <c r="AV31" s="56" t="inlineStr">
        <is>
          <t>The company raised GBP 750,000 of seed funding in a deal led by Frontline Ventures on October 23, 2017. Will Neale, Ben Grol, Ben Heald and Andy Chung also participated in the round. The funds will be used to launch the its banking account in the U.K. later this year, with the combined accounting functionality to follow early next year.</t>
        </is>
      </c>
      <c r="AW31" s="57" t="inlineStr">
        <is>
          <t>Andy Chung, Ben Heald, Benjamin Grol, Frontline Ventures</t>
        </is>
      </c>
      <c r="AX31" s="58" t="n">
        <v>4.0</v>
      </c>
      <c r="AY31" s="59" t="inlineStr">
        <is>
          <t/>
        </is>
      </c>
      <c r="AZ31" s="60" t="inlineStr">
        <is>
          <t/>
        </is>
      </c>
      <c r="BA31" s="61" t="inlineStr">
        <is>
          <t/>
        </is>
      </c>
      <c r="BB31" s="62" t="inlineStr">
        <is>
          <t>Frontline Ventures (www.frontline.vc)</t>
        </is>
      </c>
      <c r="BC31" s="63" t="inlineStr">
        <is>
          <t/>
        </is>
      </c>
      <c r="BD31" s="64" t="inlineStr">
        <is>
          <t/>
        </is>
      </c>
      <c r="BE31" s="65" t="inlineStr">
        <is>
          <t/>
        </is>
      </c>
      <c r="BF31" s="66" t="inlineStr">
        <is>
          <t/>
        </is>
      </c>
      <c r="BG31" s="67" t="n">
        <v>43031.0</v>
      </c>
      <c r="BH31" s="68" t="n">
        <v>0.84</v>
      </c>
      <c r="BI31" s="69" t="inlineStr">
        <is>
          <t>Actual</t>
        </is>
      </c>
      <c r="BJ31" s="70" t="inlineStr">
        <is>
          <t/>
        </is>
      </c>
      <c r="BK31" s="71" t="inlineStr">
        <is>
          <t/>
        </is>
      </c>
      <c r="BL31" s="72" t="inlineStr">
        <is>
          <t>Seed Round</t>
        </is>
      </c>
      <c r="BM31" s="73" t="inlineStr">
        <is>
          <t>Seed</t>
        </is>
      </c>
      <c r="BN31" s="74" t="inlineStr">
        <is>
          <t/>
        </is>
      </c>
      <c r="BO31" s="75" t="inlineStr">
        <is>
          <t>Venture Capital</t>
        </is>
      </c>
      <c r="BP31" s="76" t="inlineStr">
        <is>
          <t/>
        </is>
      </c>
      <c r="BQ31" s="77" t="inlineStr">
        <is>
          <t/>
        </is>
      </c>
      <c r="BR31" s="78" t="inlineStr">
        <is>
          <t/>
        </is>
      </c>
      <c r="BS31" s="79" t="inlineStr">
        <is>
          <t>Completed</t>
        </is>
      </c>
      <c r="BT31" s="80" t="n">
        <v>43031.0</v>
      </c>
      <c r="BU31" s="81" t="n">
        <v>0.84</v>
      </c>
      <c r="BV31" s="82" t="inlineStr">
        <is>
          <t>Actual</t>
        </is>
      </c>
      <c r="BW31" s="83" t="inlineStr">
        <is>
          <t/>
        </is>
      </c>
      <c r="BX31" s="84" t="inlineStr">
        <is>
          <t/>
        </is>
      </c>
      <c r="BY31" s="85" t="inlineStr">
        <is>
          <t>Seed Round</t>
        </is>
      </c>
      <c r="BZ31" s="86" t="inlineStr">
        <is>
          <t>Seed</t>
        </is>
      </c>
      <c r="CA31" s="87" t="inlineStr">
        <is>
          <t/>
        </is>
      </c>
      <c r="CB31" s="88" t="inlineStr">
        <is>
          <t>Venture Capital</t>
        </is>
      </c>
      <c r="CC31" s="89" t="inlineStr">
        <is>
          <t/>
        </is>
      </c>
      <c r="CD31" s="90" t="inlineStr">
        <is>
          <t/>
        </is>
      </c>
      <c r="CE31" s="91" t="inlineStr">
        <is>
          <t/>
        </is>
      </c>
      <c r="CF31" s="92" t="inlineStr">
        <is>
          <t>Completed</t>
        </is>
      </c>
      <c r="CG31" s="93" t="inlineStr">
        <is>
          <t>6,36%</t>
        </is>
      </c>
      <c r="CH31" s="94" t="inlineStr">
        <is>
          <t>100</t>
        </is>
      </c>
      <c r="CI31" s="95" t="inlineStr">
        <is>
          <t/>
        </is>
      </c>
      <c r="CJ31" s="96" t="inlineStr">
        <is>
          <t/>
        </is>
      </c>
      <c r="CK31" s="97" t="inlineStr">
        <is>
          <t/>
        </is>
      </c>
      <c r="CL31" s="98" t="inlineStr">
        <is>
          <t/>
        </is>
      </c>
      <c r="CM31" s="99" t="inlineStr">
        <is>
          <t>6,36%</t>
        </is>
      </c>
      <c r="CN31" s="100" t="inlineStr">
        <is>
          <t>100</t>
        </is>
      </c>
      <c r="CO31" s="101" t="inlineStr">
        <is>
          <t/>
        </is>
      </c>
      <c r="CP31" s="102" t="inlineStr">
        <is>
          <t/>
        </is>
      </c>
      <c r="CQ31" s="103" t="inlineStr">
        <is>
          <t/>
        </is>
      </c>
      <c r="CR31" s="104" t="inlineStr">
        <is>
          <t/>
        </is>
      </c>
      <c r="CS31" s="105" t="inlineStr">
        <is>
          <t/>
        </is>
      </c>
      <c r="CT31" s="106" t="inlineStr">
        <is>
          <t/>
        </is>
      </c>
      <c r="CU31" s="107" t="inlineStr">
        <is>
          <t>6,36%</t>
        </is>
      </c>
      <c r="CV31" s="108" t="inlineStr">
        <is>
          <t>100</t>
        </is>
      </c>
      <c r="CW31" s="109" t="inlineStr">
        <is>
          <t>0,47x</t>
        </is>
      </c>
      <c r="CX31" s="110" t="inlineStr">
        <is>
          <t>31</t>
        </is>
      </c>
      <c r="CY31" s="111" t="inlineStr">
        <is>
          <t/>
        </is>
      </c>
      <c r="CZ31" s="112" t="inlineStr">
        <is>
          <t/>
        </is>
      </c>
      <c r="DA31" s="113" t="inlineStr">
        <is>
          <t/>
        </is>
      </c>
      <c r="DB31" s="114" t="inlineStr">
        <is>
          <t/>
        </is>
      </c>
      <c r="DC31" s="115" t="inlineStr">
        <is>
          <t>0,47x</t>
        </is>
      </c>
      <c r="DD31" s="116" t="inlineStr">
        <is>
          <t>34</t>
        </is>
      </c>
      <c r="DE31" s="117" t="inlineStr">
        <is>
          <t/>
        </is>
      </c>
      <c r="DF31" s="118" t="inlineStr">
        <is>
          <t/>
        </is>
      </c>
      <c r="DG31" s="119" t="inlineStr">
        <is>
          <t/>
        </is>
      </c>
      <c r="DH31" s="120" t="inlineStr">
        <is>
          <t/>
        </is>
      </c>
      <c r="DI31" s="121" t="inlineStr">
        <is>
          <t/>
        </is>
      </c>
      <c r="DJ31" s="122" t="inlineStr">
        <is>
          <t/>
        </is>
      </c>
      <c r="DK31" s="123" t="inlineStr">
        <is>
          <t>0,47x</t>
        </is>
      </c>
      <c r="DL31" s="124" t="inlineStr">
        <is>
          <t>37</t>
        </is>
      </c>
      <c r="DM31" s="125" t="inlineStr">
        <is>
          <t/>
        </is>
      </c>
      <c r="DN31" s="126" t="inlineStr">
        <is>
          <t/>
        </is>
      </c>
      <c r="DO31" s="127" t="inlineStr">
        <is>
          <t/>
        </is>
      </c>
      <c r="DP31" s="128" t="inlineStr">
        <is>
          <t/>
        </is>
      </c>
      <c r="DQ31" s="129" t="inlineStr">
        <is>
          <t/>
        </is>
      </c>
      <c r="DR31" s="130" t="inlineStr">
        <is>
          <t/>
        </is>
      </c>
      <c r="DS31" s="131" t="inlineStr">
        <is>
          <t/>
        </is>
      </c>
      <c r="DT31" s="132" t="inlineStr">
        <is>
          <t/>
        </is>
      </c>
      <c r="DU31" s="133" t="inlineStr">
        <is>
          <t/>
        </is>
      </c>
      <c r="DV31" s="134" t="inlineStr">
        <is>
          <t>160</t>
        </is>
      </c>
      <c r="DW31" s="135" t="inlineStr">
        <is>
          <t>24</t>
        </is>
      </c>
      <c r="DX31" s="136" t="inlineStr">
        <is>
          <t>17,65%</t>
        </is>
      </c>
      <c r="DY31" s="137" t="inlineStr">
        <is>
          <t>PitchBook Research</t>
        </is>
      </c>
      <c r="DZ31" s="785">
        <f>HYPERLINK("https://my.pitchbook.com?c=186661-18", "View company online")</f>
      </c>
    </row>
    <row r="32">
      <c r="A32" s="139" t="inlineStr">
        <is>
          <t>221666-77</t>
        </is>
      </c>
      <c r="B32" s="140" t="inlineStr">
        <is>
          <t>Genus AI</t>
        </is>
      </c>
      <c r="C32" s="141" t="inlineStr">
        <is>
          <t/>
        </is>
      </c>
      <c r="D32" s="142" t="inlineStr">
        <is>
          <t/>
        </is>
      </c>
      <c r="E32" s="143" t="inlineStr">
        <is>
          <t>221666-77</t>
        </is>
      </c>
      <c r="F32" s="144" t="inlineStr">
        <is>
          <t>Developer of a next-generation artificial intelligence platform created to look at the world in a unique way. The company's artificial intelligence platform combines the latest inventions in the areas of machine learning, neuroscience, psychology, and behavioural research. The platform uses a deep learning technology that helps businesses reach new and existing customers through an emotionally smart content and manner of speech. It is an intelligent platform that monitors and analyzes the environment from which people constantly learn to understand and help organizations communicate effectively with people.</t>
        </is>
      </c>
      <c r="G32" s="145" t="inlineStr">
        <is>
          <t>Information Technology</t>
        </is>
      </c>
      <c r="H32" s="146" t="inlineStr">
        <is>
          <t>Software</t>
        </is>
      </c>
      <c r="I32" s="147" t="inlineStr">
        <is>
          <t>Application Software</t>
        </is>
      </c>
      <c r="J32" s="148" t="inlineStr">
        <is>
          <t>Application Software*; Business/Productivity Software</t>
        </is>
      </c>
      <c r="K32" s="149" t="inlineStr">
        <is>
          <t>Artificial Intelligence &amp; Machine Learning, Big Data</t>
        </is>
      </c>
      <c r="L32" s="150" t="inlineStr">
        <is>
          <t>Venture Capital-Backed</t>
        </is>
      </c>
      <c r="M32" s="151" t="n">
        <v>0.85</v>
      </c>
      <c r="N32" s="152" t="inlineStr">
        <is>
          <t>Startup</t>
        </is>
      </c>
      <c r="O32" s="153" t="inlineStr">
        <is>
          <t>Privately Held (backing)</t>
        </is>
      </c>
      <c r="P32" s="154" t="inlineStr">
        <is>
          <t>Venture Capital</t>
        </is>
      </c>
      <c r="Q32" s="155" t="inlineStr">
        <is>
          <t>genus.ai</t>
        </is>
      </c>
      <c r="R32" s="156" t="inlineStr">
        <is>
          <t/>
        </is>
      </c>
      <c r="S32" s="157" t="inlineStr">
        <is>
          <t/>
        </is>
      </c>
      <c r="T32" s="158" t="inlineStr">
        <is>
          <t/>
        </is>
      </c>
      <c r="U32" s="159" t="inlineStr">
        <is>
          <t/>
        </is>
      </c>
      <c r="V32" s="160" t="inlineStr">
        <is>
          <t/>
        </is>
      </c>
      <c r="W32" s="161" t="inlineStr">
        <is>
          <t/>
        </is>
      </c>
      <c r="X32" s="162" t="inlineStr">
        <is>
          <t/>
        </is>
      </c>
      <c r="Y32" s="163" t="inlineStr">
        <is>
          <t/>
        </is>
      </c>
      <c r="Z32" s="164" t="inlineStr">
        <is>
          <t/>
        </is>
      </c>
      <c r="AA32" s="165" t="inlineStr">
        <is>
          <t/>
        </is>
      </c>
      <c r="AB32" s="166" t="inlineStr">
        <is>
          <t/>
        </is>
      </c>
      <c r="AC32" s="167" t="inlineStr">
        <is>
          <t/>
        </is>
      </c>
      <c r="AD32" s="168" t="inlineStr">
        <is>
          <t/>
        </is>
      </c>
      <c r="AE32" s="169" t="inlineStr">
        <is>
          <t>80243-92P</t>
        </is>
      </c>
      <c r="AF32" s="170" t="inlineStr">
        <is>
          <t>Tadas Jucikas</t>
        </is>
      </c>
      <c r="AG32" s="171" t="inlineStr">
        <is>
          <t>Chief Executive Officer &amp; Co-Founder</t>
        </is>
      </c>
      <c r="AH32" s="172" t="inlineStr">
        <is>
          <t>tadas.jucikas@genus.ai</t>
        </is>
      </c>
      <c r="AI32" s="173" t="inlineStr">
        <is>
          <t/>
        </is>
      </c>
      <c r="AJ32" s="174" t="inlineStr">
        <is>
          <t>London, United Kingdom</t>
        </is>
      </c>
      <c r="AK32" s="175" t="inlineStr">
        <is>
          <t/>
        </is>
      </c>
      <c r="AL32" s="176" t="inlineStr">
        <is>
          <t/>
        </is>
      </c>
      <c r="AM32" s="177" t="inlineStr">
        <is>
          <t>London</t>
        </is>
      </c>
      <c r="AN32" s="178" t="inlineStr">
        <is>
          <t>England</t>
        </is>
      </c>
      <c r="AO32" s="179" t="inlineStr">
        <is>
          <t/>
        </is>
      </c>
      <c r="AP32" s="180" t="inlineStr">
        <is>
          <t>United Kingdom</t>
        </is>
      </c>
      <c r="AQ32" s="181" t="inlineStr">
        <is>
          <t/>
        </is>
      </c>
      <c r="AR32" s="182" t="inlineStr">
        <is>
          <t/>
        </is>
      </c>
      <c r="AS32" s="183" t="inlineStr">
        <is>
          <t/>
        </is>
      </c>
      <c r="AT32" s="184" t="inlineStr">
        <is>
          <t>Europe</t>
        </is>
      </c>
      <c r="AU32" s="185" t="inlineStr">
        <is>
          <t>Western Europe</t>
        </is>
      </c>
      <c r="AV32" s="186" t="inlineStr">
        <is>
          <t>The company raised $1 million of Seed funding in a deal led by Picus Capital on October 24, 2017. Andy Chung, Charlie Songhurst and Matt Robinson also participated in the round. The funds will be used to expand its technology team in London and boost the company's sales operations in the US.</t>
        </is>
      </c>
      <c r="AW32" s="187" t="inlineStr">
        <is>
          <t>Andy Chung, Charles Songhurst, Matt Robinson, Picus Capital</t>
        </is>
      </c>
      <c r="AX32" s="188" t="n">
        <v>4.0</v>
      </c>
      <c r="AY32" s="189" t="inlineStr">
        <is>
          <t/>
        </is>
      </c>
      <c r="AZ32" s="190" t="inlineStr">
        <is>
          <t/>
        </is>
      </c>
      <c r="BA32" s="191" t="inlineStr">
        <is>
          <t/>
        </is>
      </c>
      <c r="BB32" s="192" t="inlineStr">
        <is>
          <t>Picus Capital (www.picus-cap.com)</t>
        </is>
      </c>
      <c r="BC32" s="193" t="inlineStr">
        <is>
          <t/>
        </is>
      </c>
      <c r="BD32" s="194" t="inlineStr">
        <is>
          <t/>
        </is>
      </c>
      <c r="BE32" s="195" t="inlineStr">
        <is>
          <t/>
        </is>
      </c>
      <c r="BF32" s="196" t="inlineStr">
        <is>
          <t/>
        </is>
      </c>
      <c r="BG32" s="197" t="n">
        <v>43032.0</v>
      </c>
      <c r="BH32" s="198" t="n">
        <v>0.85</v>
      </c>
      <c r="BI32" s="199" t="inlineStr">
        <is>
          <t>Actual</t>
        </is>
      </c>
      <c r="BJ32" s="200" t="inlineStr">
        <is>
          <t/>
        </is>
      </c>
      <c r="BK32" s="201" t="inlineStr">
        <is>
          <t/>
        </is>
      </c>
      <c r="BL32" s="202" t="inlineStr">
        <is>
          <t>Seed Round</t>
        </is>
      </c>
      <c r="BM32" s="203" t="inlineStr">
        <is>
          <t>Seed</t>
        </is>
      </c>
      <c r="BN32" s="204" t="inlineStr">
        <is>
          <t/>
        </is>
      </c>
      <c r="BO32" s="205" t="inlineStr">
        <is>
          <t>Venture Capital</t>
        </is>
      </c>
      <c r="BP32" s="206" t="inlineStr">
        <is>
          <t/>
        </is>
      </c>
      <c r="BQ32" s="207" t="inlineStr">
        <is>
          <t/>
        </is>
      </c>
      <c r="BR32" s="208" t="inlineStr">
        <is>
          <t/>
        </is>
      </c>
      <c r="BS32" s="209" t="inlineStr">
        <is>
          <t>Completed</t>
        </is>
      </c>
      <c r="BT32" s="210" t="n">
        <v>43032.0</v>
      </c>
      <c r="BU32" s="211" t="n">
        <v>0.85</v>
      </c>
      <c r="BV32" s="212" t="inlineStr">
        <is>
          <t>Actual</t>
        </is>
      </c>
      <c r="BW32" s="213" t="inlineStr">
        <is>
          <t/>
        </is>
      </c>
      <c r="BX32" s="214" t="inlineStr">
        <is>
          <t/>
        </is>
      </c>
      <c r="BY32" s="215" t="inlineStr">
        <is>
          <t>Seed Round</t>
        </is>
      </c>
      <c r="BZ32" s="216" t="inlineStr">
        <is>
          <t>Seed</t>
        </is>
      </c>
      <c r="CA32" s="217" t="inlineStr">
        <is>
          <t/>
        </is>
      </c>
      <c r="CB32" s="218" t="inlineStr">
        <is>
          <t>Venture Capital</t>
        </is>
      </c>
      <c r="CC32" s="219" t="inlineStr">
        <is>
          <t/>
        </is>
      </c>
      <c r="CD32" s="220" t="inlineStr">
        <is>
          <t/>
        </is>
      </c>
      <c r="CE32" s="221" t="inlineStr">
        <is>
          <t/>
        </is>
      </c>
      <c r="CF32" s="222" t="inlineStr">
        <is>
          <t>Completed</t>
        </is>
      </c>
      <c r="CG32" s="223" t="inlineStr">
        <is>
          <t>0,00%</t>
        </is>
      </c>
      <c r="CH32" s="224" t="inlineStr">
        <is>
          <t>33</t>
        </is>
      </c>
      <c r="CI32" s="225" t="inlineStr">
        <is>
          <t/>
        </is>
      </c>
      <c r="CJ32" s="226" t="inlineStr">
        <is>
          <t/>
        </is>
      </c>
      <c r="CK32" s="227" t="inlineStr">
        <is>
          <t/>
        </is>
      </c>
      <c r="CL32" s="228" t="inlineStr">
        <is>
          <t/>
        </is>
      </c>
      <c r="CM32" s="229" t="inlineStr">
        <is>
          <t>0,00%</t>
        </is>
      </c>
      <c r="CN32" s="230" t="inlineStr">
        <is>
          <t>20</t>
        </is>
      </c>
      <c r="CO32" s="231" t="inlineStr">
        <is>
          <t/>
        </is>
      </c>
      <c r="CP32" s="232" t="inlineStr">
        <is>
          <t/>
        </is>
      </c>
      <c r="CQ32" s="233" t="inlineStr">
        <is>
          <t/>
        </is>
      </c>
      <c r="CR32" s="234" t="inlineStr">
        <is>
          <t/>
        </is>
      </c>
      <c r="CS32" s="235" t="inlineStr">
        <is>
          <t/>
        </is>
      </c>
      <c r="CT32" s="236" t="inlineStr">
        <is>
          <t/>
        </is>
      </c>
      <c r="CU32" s="237" t="inlineStr">
        <is>
          <t>0,00%</t>
        </is>
      </c>
      <c r="CV32" s="238" t="inlineStr">
        <is>
          <t>21</t>
        </is>
      </c>
      <c r="CW32" s="239" t="inlineStr">
        <is>
          <t>0,18x</t>
        </is>
      </c>
      <c r="CX32" s="240" t="inlineStr">
        <is>
          <t>15</t>
        </is>
      </c>
      <c r="CY32" s="241" t="inlineStr">
        <is>
          <t/>
        </is>
      </c>
      <c r="CZ32" s="242" t="inlineStr">
        <is>
          <t/>
        </is>
      </c>
      <c r="DA32" s="243" t="inlineStr">
        <is>
          <t/>
        </is>
      </c>
      <c r="DB32" s="244" t="inlineStr">
        <is>
          <t/>
        </is>
      </c>
      <c r="DC32" s="245" t="inlineStr">
        <is>
          <t>0,18x</t>
        </is>
      </c>
      <c r="DD32" s="246" t="inlineStr">
        <is>
          <t>20</t>
        </is>
      </c>
      <c r="DE32" s="247" t="inlineStr">
        <is>
          <t/>
        </is>
      </c>
      <c r="DF32" s="248" t="inlineStr">
        <is>
          <t/>
        </is>
      </c>
      <c r="DG32" s="249" t="inlineStr">
        <is>
          <t/>
        </is>
      </c>
      <c r="DH32" s="250" t="inlineStr">
        <is>
          <t/>
        </is>
      </c>
      <c r="DI32" s="251" t="inlineStr">
        <is>
          <t/>
        </is>
      </c>
      <c r="DJ32" s="252" t="inlineStr">
        <is>
          <t/>
        </is>
      </c>
      <c r="DK32" s="253" t="inlineStr">
        <is>
          <t>0,18x</t>
        </is>
      </c>
      <c r="DL32" s="254" t="inlineStr">
        <is>
          <t>23</t>
        </is>
      </c>
      <c r="DM32" s="255" t="inlineStr">
        <is>
          <t/>
        </is>
      </c>
      <c r="DN32" s="256" t="inlineStr">
        <is>
          <t/>
        </is>
      </c>
      <c r="DO32" s="257" t="inlineStr">
        <is>
          <t/>
        </is>
      </c>
      <c r="DP32" s="258" t="inlineStr">
        <is>
          <t/>
        </is>
      </c>
      <c r="DQ32" s="259" t="inlineStr">
        <is>
          <t/>
        </is>
      </c>
      <c r="DR32" s="260" t="inlineStr">
        <is>
          <t/>
        </is>
      </c>
      <c r="DS32" s="261" t="inlineStr">
        <is>
          <t/>
        </is>
      </c>
      <c r="DT32" s="262" t="inlineStr">
        <is>
          <t/>
        </is>
      </c>
      <c r="DU32" s="263" t="inlineStr">
        <is>
          <t/>
        </is>
      </c>
      <c r="DV32" s="264" t="inlineStr">
        <is>
          <t>67</t>
        </is>
      </c>
      <c r="DW32" s="265" t="inlineStr">
        <is>
          <t>0</t>
        </is>
      </c>
      <c r="DX32" s="266" t="inlineStr">
        <is>
          <t>0,00%</t>
        </is>
      </c>
      <c r="DY32" s="267" t="inlineStr">
        <is>
          <t>PitchBook Research</t>
        </is>
      </c>
      <c r="DZ32" s="786">
        <f>HYPERLINK("https://my.pitchbook.com?c=221666-77", "View company online")</f>
      </c>
    </row>
    <row r="33">
      <c r="A33" s="9" t="inlineStr">
        <is>
          <t>108663-22</t>
        </is>
      </c>
      <c r="B33" s="10" t="inlineStr">
        <is>
          <t>Organic Basics</t>
        </is>
      </c>
      <c r="C33" s="11" t="inlineStr">
        <is>
          <t/>
        </is>
      </c>
      <c r="D33" s="12" t="inlineStr">
        <is>
          <t/>
        </is>
      </c>
      <c r="E33" s="13" t="inlineStr">
        <is>
          <t>108663-22</t>
        </is>
      </c>
      <c r="F33" s="14" t="inlineStr">
        <is>
          <t>Manufacturer of apparel and undergarments intended to provide products made of highest quality organic materials. The company's apparel and undergarments include socks and t-shirts infused with silver which kills bacteria to control odor, enabling customers to regulate body temperature and improve blood circulation.</t>
        </is>
      </c>
      <c r="G33" s="15" t="inlineStr">
        <is>
          <t>Consumer Products and Services (B2C)</t>
        </is>
      </c>
      <c r="H33" s="16" t="inlineStr">
        <is>
          <t>Apparel and Accessories</t>
        </is>
      </c>
      <c r="I33" s="17" t="inlineStr">
        <is>
          <t>Clothing</t>
        </is>
      </c>
      <c r="J33" s="18" t="inlineStr">
        <is>
          <t>Clothing*; Specialty Retail</t>
        </is>
      </c>
      <c r="K33" s="19" t="inlineStr">
        <is>
          <t>E-Commerce, Manufacturing</t>
        </is>
      </c>
      <c r="L33" s="20" t="inlineStr">
        <is>
          <t>Venture Capital-Backed</t>
        </is>
      </c>
      <c r="M33" s="21" t="n">
        <v>0.85</v>
      </c>
      <c r="N33" s="22" t="inlineStr">
        <is>
          <t>Generating Revenue</t>
        </is>
      </c>
      <c r="O33" s="23" t="inlineStr">
        <is>
          <t>Privately Held (backing)</t>
        </is>
      </c>
      <c r="P33" s="24" t="inlineStr">
        <is>
          <t>Venture Capital</t>
        </is>
      </c>
      <c r="Q33" s="25" t="inlineStr">
        <is>
          <t>www.organicbasics.com</t>
        </is>
      </c>
      <c r="R33" s="26" t="inlineStr">
        <is>
          <t/>
        </is>
      </c>
      <c r="S33" s="27" t="inlineStr">
        <is>
          <t/>
        </is>
      </c>
      <c r="T33" s="28" t="inlineStr">
        <is>
          <t/>
        </is>
      </c>
      <c r="U33" s="29" t="n">
        <v>2014.0</v>
      </c>
      <c r="V33" s="30" t="inlineStr">
        <is>
          <t/>
        </is>
      </c>
      <c r="W33" s="31" t="inlineStr">
        <is>
          <t/>
        </is>
      </c>
      <c r="X33" s="32" t="inlineStr">
        <is>
          <t/>
        </is>
      </c>
      <c r="Y33" s="33" t="n">
        <v>0.05512</v>
      </c>
      <c r="Z33" s="34" t="n">
        <v>0.02756</v>
      </c>
      <c r="AA33" s="35" t="n">
        <v>0.00919</v>
      </c>
      <c r="AB33" s="36" t="inlineStr">
        <is>
          <t/>
        </is>
      </c>
      <c r="AC33" s="37" t="n">
        <v>0.00919</v>
      </c>
      <c r="AD33" s="38" t="inlineStr">
        <is>
          <t>FY 2015</t>
        </is>
      </c>
      <c r="AE33" s="39" t="inlineStr">
        <is>
          <t>148014-91P</t>
        </is>
      </c>
      <c r="AF33" s="40" t="inlineStr">
        <is>
          <t>Christoffer Immanuel</t>
        </is>
      </c>
      <c r="AG33" s="41" t="inlineStr">
        <is>
          <t>Co-Founder</t>
        </is>
      </c>
      <c r="AH33" s="42" t="inlineStr">
        <is>
          <t>christoffer@organicbasics.dk</t>
        </is>
      </c>
      <c r="AI33" s="43" t="inlineStr">
        <is>
          <t>+45 7178 2275</t>
        </is>
      </c>
      <c r="AJ33" s="44" t="inlineStr">
        <is>
          <t>Aarhus, Denmark</t>
        </is>
      </c>
      <c r="AK33" s="45" t="inlineStr">
        <is>
          <t>Sverigesgade 6</t>
        </is>
      </c>
      <c r="AL33" s="46" t="inlineStr">
        <is>
          <t/>
        </is>
      </c>
      <c r="AM33" s="47" t="inlineStr">
        <is>
          <t>Aarhus</t>
        </is>
      </c>
      <c r="AN33" s="48" t="inlineStr">
        <is>
          <t/>
        </is>
      </c>
      <c r="AO33" s="49" t="inlineStr">
        <is>
          <t>8000</t>
        </is>
      </c>
      <c r="AP33" s="50" t="inlineStr">
        <is>
          <t>Denmark</t>
        </is>
      </c>
      <c r="AQ33" s="51" t="inlineStr">
        <is>
          <t>+45 7178 2275</t>
        </is>
      </c>
      <c r="AR33" s="52" t="inlineStr">
        <is>
          <t/>
        </is>
      </c>
      <c r="AS33" s="53" t="inlineStr">
        <is>
          <t/>
        </is>
      </c>
      <c r="AT33" s="54" t="inlineStr">
        <is>
          <t>Europe</t>
        </is>
      </c>
      <c r="AU33" s="55" t="inlineStr">
        <is>
          <t>Northern Europe</t>
        </is>
      </c>
      <c r="AV33" s="56" t="inlineStr">
        <is>
          <t>The company raised $1 million of venture funding from Bumble Ventures and Nordic Eye on October 20, 2017. Prior to that, The company raised $107,632 of product crowdfunding via Indiegogo and Kickstarter on May 25, 2017. Earlier, the company raised $191,087 of product crowdfunding via Indiegogo on June 8, 2016. Prior to this, the company raised DKK 1.02 million of product crowdfunding via Kickstarter on June 3, 2016.</t>
        </is>
      </c>
      <c r="AW33" s="57" t="inlineStr">
        <is>
          <t>Bumble Ventures, Nordic Eye</t>
        </is>
      </c>
      <c r="AX33" s="58" t="n">
        <v>2.0</v>
      </c>
      <c r="AY33" s="59" t="inlineStr">
        <is>
          <t/>
        </is>
      </c>
      <c r="AZ33" s="60" t="inlineStr">
        <is>
          <t/>
        </is>
      </c>
      <c r="BA33" s="61" t="inlineStr">
        <is>
          <t/>
        </is>
      </c>
      <c r="BB33" s="62" t="inlineStr">
        <is>
          <t>Bumble Ventures (www.bumbleventures.com), Nordic Eye (www.nordiceye.com)</t>
        </is>
      </c>
      <c r="BC33" s="63" t="inlineStr">
        <is>
          <t/>
        </is>
      </c>
      <c r="BD33" s="64" t="inlineStr">
        <is>
          <t/>
        </is>
      </c>
      <c r="BE33" s="65" t="inlineStr">
        <is>
          <t>Nordea Bank (General Business Banking)</t>
        </is>
      </c>
      <c r="BF33" s="66" t="inlineStr">
        <is>
          <t>Kickstarter (Lead Manager or Arranger), Indiegogo (Lead Manager or Arranger)</t>
        </is>
      </c>
      <c r="BG33" s="67" t="n">
        <v>42524.0</v>
      </c>
      <c r="BH33" s="68" t="n">
        <v>0.14</v>
      </c>
      <c r="BI33" s="69" t="inlineStr">
        <is>
          <t>Actual</t>
        </is>
      </c>
      <c r="BJ33" s="70" t="inlineStr">
        <is>
          <t/>
        </is>
      </c>
      <c r="BK33" s="71" t="inlineStr">
        <is>
          <t/>
        </is>
      </c>
      <c r="BL33" s="72" t="inlineStr">
        <is>
          <t>Product Crowdfunding</t>
        </is>
      </c>
      <c r="BM33" s="73" t="inlineStr">
        <is>
          <t/>
        </is>
      </c>
      <c r="BN33" s="74" t="inlineStr">
        <is>
          <t/>
        </is>
      </c>
      <c r="BO33" s="75" t="inlineStr">
        <is>
          <t>Individual</t>
        </is>
      </c>
      <c r="BP33" s="76" t="inlineStr">
        <is>
          <t/>
        </is>
      </c>
      <c r="BQ33" s="77" t="inlineStr">
        <is>
          <t/>
        </is>
      </c>
      <c r="BR33" s="78" t="inlineStr">
        <is>
          <t/>
        </is>
      </c>
      <c r="BS33" s="79" t="inlineStr">
        <is>
          <t>Completed</t>
        </is>
      </c>
      <c r="BT33" s="80" t="n">
        <v>43028.0</v>
      </c>
      <c r="BU33" s="81" t="n">
        <v>0.85</v>
      </c>
      <c r="BV33" s="82" t="inlineStr">
        <is>
          <t>Estimated</t>
        </is>
      </c>
      <c r="BW33" s="83" t="inlineStr">
        <is>
          <t/>
        </is>
      </c>
      <c r="BX33" s="84" t="inlineStr">
        <is>
          <t/>
        </is>
      </c>
      <c r="BY33" s="85" t="inlineStr">
        <is>
          <t>Early Stage VC</t>
        </is>
      </c>
      <c r="BZ33" s="86" t="inlineStr">
        <is>
          <t/>
        </is>
      </c>
      <c r="CA33" s="87" t="inlineStr">
        <is>
          <t/>
        </is>
      </c>
      <c r="CB33" s="88" t="inlineStr">
        <is>
          <t>Venture Capital</t>
        </is>
      </c>
      <c r="CC33" s="89" t="inlineStr">
        <is>
          <t/>
        </is>
      </c>
      <c r="CD33" s="90" t="inlineStr">
        <is>
          <t/>
        </is>
      </c>
      <c r="CE33" s="91" t="inlineStr">
        <is>
          <t/>
        </is>
      </c>
      <c r="CF33" s="92" t="inlineStr">
        <is>
          <t>Completed</t>
        </is>
      </c>
      <c r="CG33" s="93" t="inlineStr">
        <is>
          <t>0,67%</t>
        </is>
      </c>
      <c r="CH33" s="94" t="inlineStr">
        <is>
          <t>93</t>
        </is>
      </c>
      <c r="CI33" s="95" t="inlineStr">
        <is>
          <t>0,07%</t>
        </is>
      </c>
      <c r="CJ33" s="96" t="inlineStr">
        <is>
          <t>11,69%</t>
        </is>
      </c>
      <c r="CK33" s="97" t="inlineStr">
        <is>
          <t/>
        </is>
      </c>
      <c r="CL33" s="98" t="inlineStr">
        <is>
          <t/>
        </is>
      </c>
      <c r="CM33" s="99" t="inlineStr">
        <is>
          <t>0,67%</t>
        </is>
      </c>
      <c r="CN33" s="100" t="inlineStr">
        <is>
          <t>92</t>
        </is>
      </c>
      <c r="CO33" s="101" t="inlineStr">
        <is>
          <t/>
        </is>
      </c>
      <c r="CP33" s="102" t="inlineStr">
        <is>
          <t/>
        </is>
      </c>
      <c r="CQ33" s="103" t="inlineStr">
        <is>
          <t/>
        </is>
      </c>
      <c r="CR33" s="104" t="inlineStr">
        <is>
          <t/>
        </is>
      </c>
      <c r="CS33" s="105" t="inlineStr">
        <is>
          <t>1,30%</t>
        </is>
      </c>
      <c r="CT33" s="106" t="inlineStr">
        <is>
          <t>96</t>
        </is>
      </c>
      <c r="CU33" s="107" t="inlineStr">
        <is>
          <t>0,03%</t>
        </is>
      </c>
      <c r="CV33" s="108" t="inlineStr">
        <is>
          <t>56</t>
        </is>
      </c>
      <c r="CW33" s="109" t="inlineStr">
        <is>
          <t>9,61x</t>
        </is>
      </c>
      <c r="CX33" s="110" t="inlineStr">
        <is>
          <t>87</t>
        </is>
      </c>
      <c r="CY33" s="111" t="inlineStr">
        <is>
          <t>0,06x</t>
        </is>
      </c>
      <c r="CZ33" s="112" t="inlineStr">
        <is>
          <t>0,63%</t>
        </is>
      </c>
      <c r="DA33" s="113" t="inlineStr">
        <is>
          <t/>
        </is>
      </c>
      <c r="DB33" s="114" t="inlineStr">
        <is>
          <t/>
        </is>
      </c>
      <c r="DC33" s="115" t="inlineStr">
        <is>
          <t>9,61x</t>
        </is>
      </c>
      <c r="DD33" s="116" t="inlineStr">
        <is>
          <t>84</t>
        </is>
      </c>
      <c r="DE33" s="117" t="inlineStr">
        <is>
          <t/>
        </is>
      </c>
      <c r="DF33" s="118" t="inlineStr">
        <is>
          <t/>
        </is>
      </c>
      <c r="DG33" s="119" t="inlineStr">
        <is>
          <t/>
        </is>
      </c>
      <c r="DH33" s="120" t="inlineStr">
        <is>
          <t/>
        </is>
      </c>
      <c r="DI33" s="121" t="inlineStr">
        <is>
          <t>15,71x</t>
        </is>
      </c>
      <c r="DJ33" s="122" t="inlineStr">
        <is>
          <t>85</t>
        </is>
      </c>
      <c r="DK33" s="123" t="inlineStr">
        <is>
          <t>3,51x</t>
        </is>
      </c>
      <c r="DL33" s="124" t="inlineStr">
        <is>
          <t>74</t>
        </is>
      </c>
      <c r="DM33" s="125" t="inlineStr">
        <is>
          <t/>
        </is>
      </c>
      <c r="DN33" s="126" t="inlineStr">
        <is>
          <t/>
        </is>
      </c>
      <c r="DO33" s="127" t="inlineStr">
        <is>
          <t/>
        </is>
      </c>
      <c r="DP33" s="128" t="inlineStr">
        <is>
          <t>12.359</t>
        </is>
      </c>
      <c r="DQ33" s="129" t="inlineStr">
        <is>
          <t>205</t>
        </is>
      </c>
      <c r="DR33" s="130" t="inlineStr">
        <is>
          <t>1,69%</t>
        </is>
      </c>
      <c r="DS33" s="131" t="inlineStr">
        <is>
          <t/>
        </is>
      </c>
      <c r="DT33" s="132" t="inlineStr">
        <is>
          <t/>
        </is>
      </c>
      <c r="DU33" s="133" t="inlineStr">
        <is>
          <t/>
        </is>
      </c>
      <c r="DV33" s="134" t="inlineStr">
        <is>
          <t>1.313</t>
        </is>
      </c>
      <c r="DW33" s="135" t="inlineStr">
        <is>
          <t>-1</t>
        </is>
      </c>
      <c r="DX33" s="136" t="inlineStr">
        <is>
          <t>-0,08%</t>
        </is>
      </c>
      <c r="DY33" s="137" t="inlineStr">
        <is>
          <t>PitchBook Research</t>
        </is>
      </c>
      <c r="DZ33" s="785">
        <f>HYPERLINK("https://my.pitchbook.com?c=108663-22", "View company online")</f>
      </c>
    </row>
    <row r="34">
      <c r="A34" s="139" t="inlineStr">
        <is>
          <t>117477-82</t>
        </is>
      </c>
      <c r="B34" s="140" t="inlineStr">
        <is>
          <t>Quomi</t>
        </is>
      </c>
      <c r="C34" s="141" t="inlineStr">
        <is>
          <t/>
        </is>
      </c>
      <c r="D34" s="142" t="inlineStr">
        <is>
          <t/>
        </is>
      </c>
      <c r="E34" s="143" t="inlineStr">
        <is>
          <t>117477-82</t>
        </is>
      </c>
      <c r="F34" s="144" t="inlineStr">
        <is>
          <t>Developer of a food delivery platform designed to serve balanced and varied diets made of natural ingredients. The company's food delivery platform delivers organic recipes made from unprocessed and fresh ingredients keeping in mind the taste as well directly to the customers' homes, enabling customers to enjoy a healthy meal and adopt a healthy lifestyle.</t>
        </is>
      </c>
      <c r="G34" s="145" t="inlineStr">
        <is>
          <t>Consumer Products and Services (B2C)</t>
        </is>
      </c>
      <c r="H34" s="146" t="inlineStr">
        <is>
          <t>Consumer Non-Durables</t>
        </is>
      </c>
      <c r="I34" s="147" t="inlineStr">
        <is>
          <t>Food Products</t>
        </is>
      </c>
      <c r="J34" s="148" t="inlineStr">
        <is>
          <t>Food Products*; Internet Retail</t>
        </is>
      </c>
      <c r="K34" s="149" t="inlineStr">
        <is>
          <t>E-Commerce</t>
        </is>
      </c>
      <c r="L34" s="150" t="inlineStr">
        <is>
          <t>Venture Capital-Backed</t>
        </is>
      </c>
      <c r="M34" s="151" t="n">
        <v>0.85</v>
      </c>
      <c r="N34" s="152" t="inlineStr">
        <is>
          <t>Generating Revenue</t>
        </is>
      </c>
      <c r="O34" s="153" t="inlineStr">
        <is>
          <t>Privately Held (backing)</t>
        </is>
      </c>
      <c r="P34" s="154" t="inlineStr">
        <is>
          <t>Venture Capital</t>
        </is>
      </c>
      <c r="Q34" s="155" t="inlineStr">
        <is>
          <t>www.quomi.it</t>
        </is>
      </c>
      <c r="R34" s="156" t="n">
        <v>2.0</v>
      </c>
      <c r="S34" s="157" t="inlineStr">
        <is>
          <t/>
        </is>
      </c>
      <c r="T34" s="158" t="inlineStr">
        <is>
          <t/>
        </is>
      </c>
      <c r="U34" s="159" t="n">
        <v>2015.0</v>
      </c>
      <c r="V34" s="160" t="inlineStr">
        <is>
          <t/>
        </is>
      </c>
      <c r="W34" s="161" t="inlineStr">
        <is>
          <t/>
        </is>
      </c>
      <c r="X34" s="162" t="inlineStr">
        <is>
          <t/>
        </is>
      </c>
      <c r="Y34" s="163" t="inlineStr">
        <is>
          <t/>
        </is>
      </c>
      <c r="Z34" s="164" t="inlineStr">
        <is>
          <t/>
        </is>
      </c>
      <c r="AA34" s="165" t="inlineStr">
        <is>
          <t/>
        </is>
      </c>
      <c r="AB34" s="166" t="inlineStr">
        <is>
          <t/>
        </is>
      </c>
      <c r="AC34" s="167" t="inlineStr">
        <is>
          <t/>
        </is>
      </c>
      <c r="AD34" s="168" t="inlineStr">
        <is>
          <t/>
        </is>
      </c>
      <c r="AE34" s="169" t="inlineStr">
        <is>
          <t>123724-99P</t>
        </is>
      </c>
      <c r="AF34" s="170" t="inlineStr">
        <is>
          <t>Daniele Bruttini</t>
        </is>
      </c>
      <c r="AG34" s="171" t="inlineStr">
        <is>
          <t>Co-Founder &amp; Managing Director</t>
        </is>
      </c>
      <c r="AH34" s="172" t="inlineStr">
        <is>
          <t>daniele@quomi.it</t>
        </is>
      </c>
      <c r="AI34" s="173" t="inlineStr">
        <is>
          <t>+39 08 0091 3194</t>
        </is>
      </c>
      <c r="AJ34" s="174" t="inlineStr">
        <is>
          <t>Milan, Italy</t>
        </is>
      </c>
      <c r="AK34" s="175" t="inlineStr">
        <is>
          <t>Via Abbondio Sangiorgio 12</t>
        </is>
      </c>
      <c r="AL34" s="176" t="inlineStr">
        <is>
          <t/>
        </is>
      </c>
      <c r="AM34" s="177" t="inlineStr">
        <is>
          <t>Milan</t>
        </is>
      </c>
      <c r="AN34" s="178" t="inlineStr">
        <is>
          <t/>
        </is>
      </c>
      <c r="AO34" s="179" t="inlineStr">
        <is>
          <t>20145</t>
        </is>
      </c>
      <c r="AP34" s="180" t="inlineStr">
        <is>
          <t>Italy</t>
        </is>
      </c>
      <c r="AQ34" s="181" t="inlineStr">
        <is>
          <t>+39 08 0091 3194</t>
        </is>
      </c>
      <c r="AR34" s="182" t="inlineStr">
        <is>
          <t/>
        </is>
      </c>
      <c r="AS34" s="183" t="inlineStr">
        <is>
          <t>info@quomi.it</t>
        </is>
      </c>
      <c r="AT34" s="184" t="inlineStr">
        <is>
          <t>Europe</t>
        </is>
      </c>
      <c r="AU34" s="185" t="inlineStr">
        <is>
          <t>Southern Europe</t>
        </is>
      </c>
      <c r="AV34" s="186" t="inlineStr">
        <is>
          <t>The company raised EUR 600,000 of venture funding from undisclosed investors on October 11, 2017.</t>
        </is>
      </c>
      <c r="AW34" s="187" t="inlineStr">
        <is>
          <t>Digital Magics, Euroventures</t>
        </is>
      </c>
      <c r="AX34" s="188" t="n">
        <v>2.0</v>
      </c>
      <c r="AY34" s="189" t="inlineStr">
        <is>
          <t/>
        </is>
      </c>
      <c r="AZ34" s="190" t="inlineStr">
        <is>
          <t/>
        </is>
      </c>
      <c r="BA34" s="191" t="inlineStr">
        <is>
          <t/>
        </is>
      </c>
      <c r="BB34" s="192" t="inlineStr">
        <is>
          <t>Digital Magics (www.digitalmagics.com), Euroventures (www.euroventures.hu)</t>
        </is>
      </c>
      <c r="BC34" s="193" t="inlineStr">
        <is>
          <t/>
        </is>
      </c>
      <c r="BD34" s="194" t="inlineStr">
        <is>
          <t/>
        </is>
      </c>
      <c r="BE34" s="195" t="inlineStr">
        <is>
          <t/>
        </is>
      </c>
      <c r="BF34" s="196" t="inlineStr">
        <is>
          <t/>
        </is>
      </c>
      <c r="BG34" s="197" t="n">
        <v>42278.0</v>
      </c>
      <c r="BH34" s="198" t="inlineStr">
        <is>
          <t/>
        </is>
      </c>
      <c r="BI34" s="199" t="inlineStr">
        <is>
          <t/>
        </is>
      </c>
      <c r="BJ34" s="200" t="inlineStr">
        <is>
          <t/>
        </is>
      </c>
      <c r="BK34" s="201" t="inlineStr">
        <is>
          <t/>
        </is>
      </c>
      <c r="BL34" s="202" t="inlineStr">
        <is>
          <t>Accelerator/Incubator</t>
        </is>
      </c>
      <c r="BM34" s="203" t="inlineStr">
        <is>
          <t/>
        </is>
      </c>
      <c r="BN34" s="204" t="inlineStr">
        <is>
          <t/>
        </is>
      </c>
      <c r="BO34" s="205" t="inlineStr">
        <is>
          <t>Other</t>
        </is>
      </c>
      <c r="BP34" s="206" t="inlineStr">
        <is>
          <t/>
        </is>
      </c>
      <c r="BQ34" s="207" t="inlineStr">
        <is>
          <t/>
        </is>
      </c>
      <c r="BR34" s="208" t="inlineStr">
        <is>
          <t/>
        </is>
      </c>
      <c r="BS34" s="209" t="inlineStr">
        <is>
          <t>Completed</t>
        </is>
      </c>
      <c r="BT34" s="210" t="n">
        <v>43019.0</v>
      </c>
      <c r="BU34" s="211" t="n">
        <v>0.6</v>
      </c>
      <c r="BV34" s="212" t="inlineStr">
        <is>
          <t>Actual</t>
        </is>
      </c>
      <c r="BW34" s="213" t="inlineStr">
        <is>
          <t/>
        </is>
      </c>
      <c r="BX34" s="214" t="inlineStr">
        <is>
          <t/>
        </is>
      </c>
      <c r="BY34" s="215" t="inlineStr">
        <is>
          <t>Early Stage VC</t>
        </is>
      </c>
      <c r="BZ34" s="216" t="inlineStr">
        <is>
          <t/>
        </is>
      </c>
      <c r="CA34" s="217" t="inlineStr">
        <is>
          <t/>
        </is>
      </c>
      <c r="CB34" s="218" t="inlineStr">
        <is>
          <t>Venture Capital</t>
        </is>
      </c>
      <c r="CC34" s="219" t="inlineStr">
        <is>
          <t/>
        </is>
      </c>
      <c r="CD34" s="220" t="inlineStr">
        <is>
          <t/>
        </is>
      </c>
      <c r="CE34" s="221" t="inlineStr">
        <is>
          <t/>
        </is>
      </c>
      <c r="CF34" s="222" t="inlineStr">
        <is>
          <t>Completed</t>
        </is>
      </c>
      <c r="CG34" s="223" t="inlineStr">
        <is>
          <t>-2,15%</t>
        </is>
      </c>
      <c r="CH34" s="224" t="inlineStr">
        <is>
          <t>9</t>
        </is>
      </c>
      <c r="CI34" s="225" t="inlineStr">
        <is>
          <t>0,03%</t>
        </is>
      </c>
      <c r="CJ34" s="226" t="inlineStr">
        <is>
          <t>1,56%</t>
        </is>
      </c>
      <c r="CK34" s="227" t="inlineStr">
        <is>
          <t>-4,70%</t>
        </is>
      </c>
      <c r="CL34" s="228" t="inlineStr">
        <is>
          <t>8</t>
        </is>
      </c>
      <c r="CM34" s="229" t="inlineStr">
        <is>
          <t>0,40%</t>
        </is>
      </c>
      <c r="CN34" s="230" t="inlineStr">
        <is>
          <t>85</t>
        </is>
      </c>
      <c r="CO34" s="231" t="inlineStr">
        <is>
          <t>-9,41%</t>
        </is>
      </c>
      <c r="CP34" s="232" t="inlineStr">
        <is>
          <t>13</t>
        </is>
      </c>
      <c r="CQ34" s="233" t="inlineStr">
        <is>
          <t>0,00%</t>
        </is>
      </c>
      <c r="CR34" s="234" t="inlineStr">
        <is>
          <t>20</t>
        </is>
      </c>
      <c r="CS34" s="235" t="inlineStr">
        <is>
          <t>0,34%</t>
        </is>
      </c>
      <c r="CT34" s="236" t="inlineStr">
        <is>
          <t>80</t>
        </is>
      </c>
      <c r="CU34" s="237" t="inlineStr">
        <is>
          <t>0,47%</t>
        </is>
      </c>
      <c r="CV34" s="238" t="inlineStr">
        <is>
          <t>90</t>
        </is>
      </c>
      <c r="CW34" s="239" t="inlineStr">
        <is>
          <t>8,47x</t>
        </is>
      </c>
      <c r="CX34" s="240" t="inlineStr">
        <is>
          <t>86</t>
        </is>
      </c>
      <c r="CY34" s="241" t="inlineStr">
        <is>
          <t>-0,03x</t>
        </is>
      </c>
      <c r="CZ34" s="242" t="inlineStr">
        <is>
          <t>-0,36%</t>
        </is>
      </c>
      <c r="DA34" s="243" t="inlineStr">
        <is>
          <t>3,85x</t>
        </is>
      </c>
      <c r="DB34" s="244" t="inlineStr">
        <is>
          <t>78</t>
        </is>
      </c>
      <c r="DC34" s="245" t="inlineStr">
        <is>
          <t>13,09x</t>
        </is>
      </c>
      <c r="DD34" s="246" t="inlineStr">
        <is>
          <t>86</t>
        </is>
      </c>
      <c r="DE34" s="247" t="inlineStr">
        <is>
          <t>6,09x</t>
        </is>
      </c>
      <c r="DF34" s="248" t="inlineStr">
        <is>
          <t>83</t>
        </is>
      </c>
      <c r="DG34" s="249" t="inlineStr">
        <is>
          <t>1,61x</t>
        </is>
      </c>
      <c r="DH34" s="250" t="inlineStr">
        <is>
          <t>60</t>
        </is>
      </c>
      <c r="DI34" s="251" t="inlineStr">
        <is>
          <t>24,73x</t>
        </is>
      </c>
      <c r="DJ34" s="252" t="inlineStr">
        <is>
          <t>88</t>
        </is>
      </c>
      <c r="DK34" s="253" t="inlineStr">
        <is>
          <t>1,46x</t>
        </is>
      </c>
      <c r="DL34" s="254" t="inlineStr">
        <is>
          <t>58</t>
        </is>
      </c>
      <c r="DM34" s="255" t="inlineStr">
        <is>
          <t>2.322</t>
        </is>
      </c>
      <c r="DN34" s="256" t="inlineStr">
        <is>
          <t>-185</t>
        </is>
      </c>
      <c r="DO34" s="257" t="inlineStr">
        <is>
          <t>-7,38%</t>
        </is>
      </c>
      <c r="DP34" s="258" t="inlineStr">
        <is>
          <t>19.563</t>
        </is>
      </c>
      <c r="DQ34" s="259" t="inlineStr">
        <is>
          <t>77</t>
        </is>
      </c>
      <c r="DR34" s="260" t="inlineStr">
        <is>
          <t>0,40%</t>
        </is>
      </c>
      <c r="DS34" s="261" t="inlineStr">
        <is>
          <t>58</t>
        </is>
      </c>
      <c r="DT34" s="262" t="inlineStr">
        <is>
          <t>1</t>
        </is>
      </c>
      <c r="DU34" s="263" t="inlineStr">
        <is>
          <t>1,75%</t>
        </is>
      </c>
      <c r="DV34" s="264" t="inlineStr">
        <is>
          <t>545</t>
        </is>
      </c>
      <c r="DW34" s="265" t="inlineStr">
        <is>
          <t>4</t>
        </is>
      </c>
      <c r="DX34" s="266" t="inlineStr">
        <is>
          <t>0,74%</t>
        </is>
      </c>
      <c r="DY34" s="267" t="inlineStr">
        <is>
          <t>PitchBook Research</t>
        </is>
      </c>
      <c r="DZ34" s="786">
        <f>HYPERLINK("https://my.pitchbook.com?c=117477-82", "View company online")</f>
      </c>
    </row>
    <row r="35">
      <c r="A35" s="9" t="inlineStr">
        <is>
          <t>167720-32</t>
        </is>
      </c>
      <c r="B35" s="10" t="inlineStr">
        <is>
          <t>3rd Eye Studios</t>
        </is>
      </c>
      <c r="C35" s="11" t="inlineStr">
        <is>
          <t/>
        </is>
      </c>
      <c r="D35" s="12" t="inlineStr">
        <is>
          <t/>
        </is>
      </c>
      <c r="E35" s="13" t="inlineStr">
        <is>
          <t>167720-32</t>
        </is>
      </c>
      <c r="F35" s="14" t="inlineStr">
        <is>
          <t>Operator of a game development studio designed to offer a whole new virtual reality gaming experience. The company develops next generation technology and tools, enabling game developers to build innovative games for virtual reality platform.</t>
        </is>
      </c>
      <c r="G35" s="15" t="inlineStr">
        <is>
          <t>Information Technology</t>
        </is>
      </c>
      <c r="H35" s="16" t="inlineStr">
        <is>
          <t>Software</t>
        </is>
      </c>
      <c r="I35" s="17" t="inlineStr">
        <is>
          <t>Software Development Applications</t>
        </is>
      </c>
      <c r="J35" s="18" t="inlineStr">
        <is>
          <t>Software Development Applications*</t>
        </is>
      </c>
      <c r="K35" s="19" t="inlineStr">
        <is>
          <t>Virtual Reality</t>
        </is>
      </c>
      <c r="L35" s="20" t="inlineStr">
        <is>
          <t>Venture Capital-Backed</t>
        </is>
      </c>
      <c r="M35" s="21" t="n">
        <v>0.85</v>
      </c>
      <c r="N35" s="22" t="inlineStr">
        <is>
          <t>Startup</t>
        </is>
      </c>
      <c r="O35" s="23" t="inlineStr">
        <is>
          <t>Privately Held (backing)</t>
        </is>
      </c>
      <c r="P35" s="24" t="inlineStr">
        <is>
          <t>Venture Capital</t>
        </is>
      </c>
      <c r="Q35" s="25" t="inlineStr">
        <is>
          <t>www.3rdeyestudios.fi</t>
        </is>
      </c>
      <c r="R35" s="26" t="n">
        <v>4.0</v>
      </c>
      <c r="S35" s="27" t="inlineStr">
        <is>
          <t/>
        </is>
      </c>
      <c r="T35" s="28" t="inlineStr">
        <is>
          <t/>
        </is>
      </c>
      <c r="U35" s="29" t="n">
        <v>2016.0</v>
      </c>
      <c r="V35" s="30" t="inlineStr">
        <is>
          <t/>
        </is>
      </c>
      <c r="W35" s="31" t="inlineStr">
        <is>
          <t/>
        </is>
      </c>
      <c r="X35" s="32" t="inlineStr">
        <is>
          <t/>
        </is>
      </c>
      <c r="Y35" s="33" t="inlineStr">
        <is>
          <t/>
        </is>
      </c>
      <c r="Z35" s="34" t="inlineStr">
        <is>
          <t/>
        </is>
      </c>
      <c r="AA35" s="35" t="n">
        <v>-0.07589</v>
      </c>
      <c r="AB35" s="36" t="inlineStr">
        <is>
          <t/>
        </is>
      </c>
      <c r="AC35" s="37" t="n">
        <v>-0.07589</v>
      </c>
      <c r="AD35" s="38" t="inlineStr">
        <is>
          <t>FY 2016</t>
        </is>
      </c>
      <c r="AE35" s="39" t="inlineStr">
        <is>
          <t>148787-47P</t>
        </is>
      </c>
      <c r="AF35" s="40" t="inlineStr">
        <is>
          <t>Kari Koivistoinen</t>
        </is>
      </c>
      <c r="AG35" s="41" t="inlineStr">
        <is>
          <t>Co-Founder &amp; Chief Executive Officer</t>
        </is>
      </c>
      <c r="AH35" s="42" t="inlineStr">
        <is>
          <t>kari.koivistoinen@3rdeyestudios.fi</t>
        </is>
      </c>
      <c r="AI35" s="43" t="inlineStr">
        <is>
          <t>+358 (0)40 069 4635</t>
        </is>
      </c>
      <c r="AJ35" s="44" t="inlineStr">
        <is>
          <t>Helsinki, Finland</t>
        </is>
      </c>
      <c r="AK35" s="45" t="inlineStr">
        <is>
          <t>Annankatu 31-33</t>
        </is>
      </c>
      <c r="AL35" s="46" t="inlineStr">
        <is>
          <t>C 45</t>
        </is>
      </c>
      <c r="AM35" s="47" t="inlineStr">
        <is>
          <t>Helsinki</t>
        </is>
      </c>
      <c r="AN35" s="48" t="inlineStr">
        <is>
          <t/>
        </is>
      </c>
      <c r="AO35" s="49" t="inlineStr">
        <is>
          <t>00100</t>
        </is>
      </c>
      <c r="AP35" s="50" t="inlineStr">
        <is>
          <t>Finland</t>
        </is>
      </c>
      <c r="AQ35" s="51" t="inlineStr">
        <is>
          <t>+358 (0)40 069 4635</t>
        </is>
      </c>
      <c r="AR35" s="52" t="inlineStr">
        <is>
          <t/>
        </is>
      </c>
      <c r="AS35" s="53" t="inlineStr">
        <is>
          <t/>
        </is>
      </c>
      <c r="AT35" s="54" t="inlineStr">
        <is>
          <t>Europe</t>
        </is>
      </c>
      <c r="AU35" s="55" t="inlineStr">
        <is>
          <t>Northern Europe</t>
        </is>
      </c>
      <c r="AV35" s="56" t="inlineStr">
        <is>
          <t>The company raised $1 million of venture funding from COLOPL, Karl Magnus Troedsson and Sisu Game Ventures on October 10, 2017. GameFounders, Success China Limited and other undisclosed investors also participated in the round. The company will use the funds to develop its proprietary 3rd Eye Core tools and technology, whilst simultaneously building innovative, cutting edge games for new platforms such as virtual reality, including the ambitious VR game saga Downward Spiral.</t>
        </is>
      </c>
      <c r="AW35" s="57" t="inlineStr">
        <is>
          <t>COLOPL, GameFounders, Karl Troedsson, Sisu Game Ventures, Success China Limited</t>
        </is>
      </c>
      <c r="AX35" s="58" t="n">
        <v>5.0</v>
      </c>
      <c r="AY35" s="59" t="inlineStr">
        <is>
          <t/>
        </is>
      </c>
      <c r="AZ35" s="60" t="inlineStr">
        <is>
          <t/>
        </is>
      </c>
      <c r="BA35" s="61" t="inlineStr">
        <is>
          <t/>
        </is>
      </c>
      <c r="BB35" s="62" t="inlineStr">
        <is>
          <t>COLOPL (www.colopl.co.jp), GameFounders (www.gamefounders.com), Success China Limited (www.newsuccesschina.com)</t>
        </is>
      </c>
      <c r="BC35" s="63" t="inlineStr">
        <is>
          <t/>
        </is>
      </c>
      <c r="BD35" s="64" t="inlineStr">
        <is>
          <t/>
        </is>
      </c>
      <c r="BE35" s="65" t="inlineStr">
        <is>
          <t/>
        </is>
      </c>
      <c r="BF35" s="66" t="inlineStr">
        <is>
          <t/>
        </is>
      </c>
      <c r="BG35" s="67" t="inlineStr">
        <is>
          <t/>
        </is>
      </c>
      <c r="BH35" s="68" t="inlineStr">
        <is>
          <t/>
        </is>
      </c>
      <c r="BI35" s="69" t="inlineStr">
        <is>
          <t/>
        </is>
      </c>
      <c r="BJ35" s="70" t="inlineStr">
        <is>
          <t/>
        </is>
      </c>
      <c r="BK35" s="71" t="inlineStr">
        <is>
          <t/>
        </is>
      </c>
      <c r="BL35" s="72" t="inlineStr">
        <is>
          <t>Early Stage VC</t>
        </is>
      </c>
      <c r="BM35" s="73" t="inlineStr">
        <is>
          <t/>
        </is>
      </c>
      <c r="BN35" s="74" t="inlineStr">
        <is>
          <t/>
        </is>
      </c>
      <c r="BO35" s="75" t="inlineStr">
        <is>
          <t>Venture Capital</t>
        </is>
      </c>
      <c r="BP35" s="76" t="inlineStr">
        <is>
          <t/>
        </is>
      </c>
      <c r="BQ35" s="77" t="inlineStr">
        <is>
          <t/>
        </is>
      </c>
      <c r="BR35" s="78" t="inlineStr">
        <is>
          <t/>
        </is>
      </c>
      <c r="BS35" s="79" t="inlineStr">
        <is>
          <t>Completed</t>
        </is>
      </c>
      <c r="BT35" s="80" t="n">
        <v>43018.0</v>
      </c>
      <c r="BU35" s="81" t="n">
        <v>0.85</v>
      </c>
      <c r="BV35" s="82" t="inlineStr">
        <is>
          <t>Actual</t>
        </is>
      </c>
      <c r="BW35" s="83" t="inlineStr">
        <is>
          <t/>
        </is>
      </c>
      <c r="BX35" s="84" t="inlineStr">
        <is>
          <t/>
        </is>
      </c>
      <c r="BY35" s="85" t="inlineStr">
        <is>
          <t>Early Stage VC</t>
        </is>
      </c>
      <c r="BZ35" s="86" t="inlineStr">
        <is>
          <t/>
        </is>
      </c>
      <c r="CA35" s="87" t="inlineStr">
        <is>
          <t/>
        </is>
      </c>
      <c r="CB35" s="88" t="inlineStr">
        <is>
          <t>Venture Capital</t>
        </is>
      </c>
      <c r="CC35" s="89" t="inlineStr">
        <is>
          <t/>
        </is>
      </c>
      <c r="CD35" s="90" t="inlineStr">
        <is>
          <t/>
        </is>
      </c>
      <c r="CE35" s="91" t="inlineStr">
        <is>
          <t/>
        </is>
      </c>
      <c r="CF35" s="92" t="inlineStr">
        <is>
          <t>Completed</t>
        </is>
      </c>
      <c r="CG35" s="93" t="inlineStr">
        <is>
          <t>0,95%</t>
        </is>
      </c>
      <c r="CH35" s="94" t="inlineStr">
        <is>
          <t>95</t>
        </is>
      </c>
      <c r="CI35" s="95" t="inlineStr">
        <is>
          <t>-0,43%</t>
        </is>
      </c>
      <c r="CJ35" s="96" t="inlineStr">
        <is>
          <t>-31,26%</t>
        </is>
      </c>
      <c r="CK35" s="97" t="inlineStr">
        <is>
          <t>0,00%</t>
        </is>
      </c>
      <c r="CL35" s="98" t="inlineStr">
        <is>
          <t>28</t>
        </is>
      </c>
      <c r="CM35" s="99" t="inlineStr">
        <is>
          <t>1,90%</t>
        </is>
      </c>
      <c r="CN35" s="100" t="inlineStr">
        <is>
          <t>99</t>
        </is>
      </c>
      <c r="CO35" s="101" t="inlineStr">
        <is>
          <t>0,00%</t>
        </is>
      </c>
      <c r="CP35" s="102" t="inlineStr">
        <is>
          <t>37</t>
        </is>
      </c>
      <c r="CQ35" s="103" t="inlineStr">
        <is>
          <t>0,00%</t>
        </is>
      </c>
      <c r="CR35" s="104" t="inlineStr">
        <is>
          <t>20</t>
        </is>
      </c>
      <c r="CS35" s="105" t="inlineStr">
        <is>
          <t>1,67%</t>
        </is>
      </c>
      <c r="CT35" s="106" t="inlineStr">
        <is>
          <t>97</t>
        </is>
      </c>
      <c r="CU35" s="107" t="inlineStr">
        <is>
          <t>2,12%</t>
        </is>
      </c>
      <c r="CV35" s="108" t="inlineStr">
        <is>
          <t>99</t>
        </is>
      </c>
      <c r="CW35" s="109" t="inlineStr">
        <is>
          <t>1,25x</t>
        </is>
      </c>
      <c r="CX35" s="110" t="inlineStr">
        <is>
          <t>54</t>
        </is>
      </c>
      <c r="CY35" s="111" t="inlineStr">
        <is>
          <t>0,00x</t>
        </is>
      </c>
      <c r="CZ35" s="112" t="inlineStr">
        <is>
          <t>-0,39%</t>
        </is>
      </c>
      <c r="DA35" s="113" t="inlineStr">
        <is>
          <t>2,03x</t>
        </is>
      </c>
      <c r="DB35" s="114" t="inlineStr">
        <is>
          <t>67</t>
        </is>
      </c>
      <c r="DC35" s="115" t="inlineStr">
        <is>
          <t>0,47x</t>
        </is>
      </c>
      <c r="DD35" s="116" t="inlineStr">
        <is>
          <t>34</t>
        </is>
      </c>
      <c r="DE35" s="117" t="inlineStr">
        <is>
          <t>2,42x</t>
        </is>
      </c>
      <c r="DF35" s="118" t="inlineStr">
        <is>
          <t>70</t>
        </is>
      </c>
      <c r="DG35" s="119" t="inlineStr">
        <is>
          <t>1,64x</t>
        </is>
      </c>
      <c r="DH35" s="120" t="inlineStr">
        <is>
          <t>61</t>
        </is>
      </c>
      <c r="DI35" s="121" t="inlineStr">
        <is>
          <t>0,46x</t>
        </is>
      </c>
      <c r="DJ35" s="122" t="inlineStr">
        <is>
          <t>37</t>
        </is>
      </c>
      <c r="DK35" s="123" t="inlineStr">
        <is>
          <t>0,47x</t>
        </is>
      </c>
      <c r="DL35" s="124" t="inlineStr">
        <is>
          <t>37</t>
        </is>
      </c>
      <c r="DM35" s="125" t="inlineStr">
        <is>
          <t>871</t>
        </is>
      </c>
      <c r="DN35" s="126" t="inlineStr">
        <is>
          <t>85</t>
        </is>
      </c>
      <c r="DO35" s="127" t="inlineStr">
        <is>
          <t>10,81%</t>
        </is>
      </c>
      <c r="DP35" s="128" t="inlineStr">
        <is>
          <t>362</t>
        </is>
      </c>
      <c r="DQ35" s="129" t="inlineStr">
        <is>
          <t>17</t>
        </is>
      </c>
      <c r="DR35" s="130" t="inlineStr">
        <is>
          <t>4,93%</t>
        </is>
      </c>
      <c r="DS35" s="131" t="inlineStr">
        <is>
          <t>59</t>
        </is>
      </c>
      <c r="DT35" s="132" t="inlineStr">
        <is>
          <t>1</t>
        </is>
      </c>
      <c r="DU35" s="133" t="inlineStr">
        <is>
          <t>1,72%</t>
        </is>
      </c>
      <c r="DV35" s="134" t="inlineStr">
        <is>
          <t>176</t>
        </is>
      </c>
      <c r="DW35" s="135" t="inlineStr">
        <is>
          <t>1</t>
        </is>
      </c>
      <c r="DX35" s="136" t="inlineStr">
        <is>
          <t>0,57%</t>
        </is>
      </c>
      <c r="DY35" s="137" t="inlineStr">
        <is>
          <t>PitchBook Research</t>
        </is>
      </c>
      <c r="DZ35" s="785">
        <f>HYPERLINK("https://my.pitchbook.com?c=167720-32", "View company online")</f>
      </c>
    </row>
    <row r="36">
      <c r="A36" s="139" t="inlineStr">
        <is>
          <t>164282-14</t>
        </is>
      </c>
      <c r="B36" s="140" t="inlineStr">
        <is>
          <t>Curiscope</t>
        </is>
      </c>
      <c r="C36" s="141" t="inlineStr">
        <is>
          <t/>
        </is>
      </c>
      <c r="D36" s="142" t="inlineStr">
        <is>
          <t>The Virtuali-Tee</t>
        </is>
      </c>
      <c r="E36" s="143" t="inlineStr">
        <is>
          <t>164282-14</t>
        </is>
      </c>
      <c r="F36" s="144" t="inlineStr">
        <is>
          <t>Developer of augmented reality products and virtual reality videos. The company develops augmented reality t-shirt that when viewed through a mobile application, becomes a window to see the inside of human body.</t>
        </is>
      </c>
      <c r="G36" s="145" t="inlineStr">
        <is>
          <t>Consumer Products and Services (B2C)</t>
        </is>
      </c>
      <c r="H36" s="146" t="inlineStr">
        <is>
          <t>Other Consumer Products and Services</t>
        </is>
      </c>
      <c r="I36" s="147" t="inlineStr">
        <is>
          <t>Other Consumer Products and Services</t>
        </is>
      </c>
      <c r="J36" s="148" t="inlineStr">
        <is>
          <t>Other Consumer Products and Services*; Application Software; Multimedia and Design Software</t>
        </is>
      </c>
      <c r="K36" s="149" t="inlineStr">
        <is>
          <t>Mobile, Virtual Reality</t>
        </is>
      </c>
      <c r="L36" s="150" t="inlineStr">
        <is>
          <t>Venture Capital-Backed</t>
        </is>
      </c>
      <c r="M36" s="151" t="n">
        <v>0.86</v>
      </c>
      <c r="N36" s="152" t="inlineStr">
        <is>
          <t>Startup</t>
        </is>
      </c>
      <c r="O36" s="153" t="inlineStr">
        <is>
          <t>Privately Held (backing)</t>
        </is>
      </c>
      <c r="P36" s="154" t="inlineStr">
        <is>
          <t>Venture Capital</t>
        </is>
      </c>
      <c r="Q36" s="155" t="inlineStr">
        <is>
          <t>www.curiscope.com</t>
        </is>
      </c>
      <c r="R36" s="156" t="inlineStr">
        <is>
          <t/>
        </is>
      </c>
      <c r="S36" s="157" t="inlineStr">
        <is>
          <t/>
        </is>
      </c>
      <c r="T36" s="158" t="inlineStr">
        <is>
          <t/>
        </is>
      </c>
      <c r="U36" s="159" t="n">
        <v>2015.0</v>
      </c>
      <c r="V36" s="160" t="inlineStr">
        <is>
          <t/>
        </is>
      </c>
      <c r="W36" s="161" t="inlineStr">
        <is>
          <t/>
        </is>
      </c>
      <c r="X36" s="162" t="inlineStr">
        <is>
          <t/>
        </is>
      </c>
      <c r="Y36" s="163" t="inlineStr">
        <is>
          <t/>
        </is>
      </c>
      <c r="Z36" s="164" t="inlineStr">
        <is>
          <t/>
        </is>
      </c>
      <c r="AA36" s="165" t="inlineStr">
        <is>
          <t/>
        </is>
      </c>
      <c r="AB36" s="166" t="inlineStr">
        <is>
          <t/>
        </is>
      </c>
      <c r="AC36" s="167" t="inlineStr">
        <is>
          <t/>
        </is>
      </c>
      <c r="AD36" s="168" t="inlineStr">
        <is>
          <t/>
        </is>
      </c>
      <c r="AE36" s="169" t="inlineStr">
        <is>
          <t>143373-97P</t>
        </is>
      </c>
      <c r="AF36" s="170" t="inlineStr">
        <is>
          <t>Edward Charles Barton</t>
        </is>
      </c>
      <c r="AG36" s="171" t="inlineStr">
        <is>
          <t>Co-Founder, Chief Executive Officer &amp; Director</t>
        </is>
      </c>
      <c r="AH36" s="172" t="inlineStr">
        <is>
          <t>ed@curiscope.com</t>
        </is>
      </c>
      <c r="AI36" s="173" t="inlineStr">
        <is>
          <t/>
        </is>
      </c>
      <c r="AJ36" s="174" t="inlineStr">
        <is>
          <t>London, United Kingdom</t>
        </is>
      </c>
      <c r="AK36" s="175" t="inlineStr">
        <is>
          <t>309 Goldhawk Road</t>
        </is>
      </c>
      <c r="AL36" s="176" t="inlineStr">
        <is>
          <t/>
        </is>
      </c>
      <c r="AM36" s="177" t="inlineStr">
        <is>
          <t>London</t>
        </is>
      </c>
      <c r="AN36" s="178" t="inlineStr">
        <is>
          <t>England</t>
        </is>
      </c>
      <c r="AO36" s="179" t="inlineStr">
        <is>
          <t>W12 8EU</t>
        </is>
      </c>
      <c r="AP36" s="180" t="inlineStr">
        <is>
          <t>United Kingdom</t>
        </is>
      </c>
      <c r="AQ36" s="181" t="inlineStr">
        <is>
          <t/>
        </is>
      </c>
      <c r="AR36" s="182" t="inlineStr">
        <is>
          <t/>
        </is>
      </c>
      <c r="AS36" s="183" t="inlineStr">
        <is>
          <t>ed@curiscope.com</t>
        </is>
      </c>
      <c r="AT36" s="184" t="inlineStr">
        <is>
          <t>Europe</t>
        </is>
      </c>
      <c r="AU36" s="185" t="inlineStr">
        <is>
          <t>Western Europe</t>
        </is>
      </c>
      <c r="AV36" s="186" t="inlineStr">
        <is>
          <t>The company raised GBP 771,000 of seed funding led by LocalGlobe on October 3, 2017. Ascension Ventures, Force over Mass, ustwo Adventure, and Richard Fearn also participated. The funds will be used to finalize and launch Virtuali-Tee worldwide on the Curiscope website, Selfridges, and Amazon and grow fast and at scale.</t>
        </is>
      </c>
      <c r="AW36" s="187" t="inlineStr">
        <is>
          <t>Ascension Ventures (UK), Force Over Mass Capital, LocalGlobe, Richard Fearn, ustwo</t>
        </is>
      </c>
      <c r="AX36" s="188" t="n">
        <v>5.0</v>
      </c>
      <c r="AY36" s="189" t="inlineStr">
        <is>
          <t/>
        </is>
      </c>
      <c r="AZ36" s="190" t="inlineStr">
        <is>
          <t/>
        </is>
      </c>
      <c r="BA36" s="191" t="inlineStr">
        <is>
          <t/>
        </is>
      </c>
      <c r="BB36" s="192" t="inlineStr">
        <is>
          <t>Ascension Ventures (UK) (www.ascensionventures.com), Force Over Mass Capital (www.fomcap.com), LocalGlobe (www.localglobe.vc), ustwo (www.ustwo.com)</t>
        </is>
      </c>
      <c r="BC36" s="193" t="inlineStr">
        <is>
          <t/>
        </is>
      </c>
      <c r="BD36" s="194" t="inlineStr">
        <is>
          <t/>
        </is>
      </c>
      <c r="BE36" s="195" t="inlineStr">
        <is>
          <t/>
        </is>
      </c>
      <c r="BF36" s="196" t="inlineStr">
        <is>
          <t>Indiegogo (Lead Manager or Arranger), Kickstarter (Lead Manager or Arranger)</t>
        </is>
      </c>
      <c r="BG36" s="197" t="n">
        <v>42461.0</v>
      </c>
      <c r="BH36" s="198" t="n">
        <v>0.09</v>
      </c>
      <c r="BI36" s="199" t="inlineStr">
        <is>
          <t>Actual</t>
        </is>
      </c>
      <c r="BJ36" s="200" t="inlineStr">
        <is>
          <t/>
        </is>
      </c>
      <c r="BK36" s="201" t="inlineStr">
        <is>
          <t/>
        </is>
      </c>
      <c r="BL36" s="202" t="inlineStr">
        <is>
          <t>Product Crowdfunding</t>
        </is>
      </c>
      <c r="BM36" s="203" t="inlineStr">
        <is>
          <t/>
        </is>
      </c>
      <c r="BN36" s="204" t="inlineStr">
        <is>
          <t/>
        </is>
      </c>
      <c r="BO36" s="205" t="inlineStr">
        <is>
          <t>Individual</t>
        </is>
      </c>
      <c r="BP36" s="206" t="inlineStr">
        <is>
          <t/>
        </is>
      </c>
      <c r="BQ36" s="207" t="inlineStr">
        <is>
          <t/>
        </is>
      </c>
      <c r="BR36" s="208" t="inlineStr">
        <is>
          <t/>
        </is>
      </c>
      <c r="BS36" s="209" t="inlineStr">
        <is>
          <t>Completed</t>
        </is>
      </c>
      <c r="BT36" s="210" t="n">
        <v>43011.0</v>
      </c>
      <c r="BU36" s="211" t="n">
        <v>0.86</v>
      </c>
      <c r="BV36" s="212" t="inlineStr">
        <is>
          <t>Actual</t>
        </is>
      </c>
      <c r="BW36" s="213" t="inlineStr">
        <is>
          <t/>
        </is>
      </c>
      <c r="BX36" s="214" t="inlineStr">
        <is>
          <t/>
        </is>
      </c>
      <c r="BY36" s="215" t="inlineStr">
        <is>
          <t>Seed Round</t>
        </is>
      </c>
      <c r="BZ36" s="216" t="inlineStr">
        <is>
          <t>Seed</t>
        </is>
      </c>
      <c r="CA36" s="217" t="inlineStr">
        <is>
          <t/>
        </is>
      </c>
      <c r="CB36" s="218" t="inlineStr">
        <is>
          <t>Venture Capital</t>
        </is>
      </c>
      <c r="CC36" s="219" t="inlineStr">
        <is>
          <t/>
        </is>
      </c>
      <c r="CD36" s="220" t="inlineStr">
        <is>
          <t/>
        </is>
      </c>
      <c r="CE36" s="221" t="inlineStr">
        <is>
          <t/>
        </is>
      </c>
      <c r="CF36" s="222" t="inlineStr">
        <is>
          <t>Completed</t>
        </is>
      </c>
      <c r="CG36" s="223" t="inlineStr">
        <is>
          <t>-0,06%</t>
        </is>
      </c>
      <c r="CH36" s="224" t="inlineStr">
        <is>
          <t>26</t>
        </is>
      </c>
      <c r="CI36" s="225" t="inlineStr">
        <is>
          <t>0,48%</t>
        </is>
      </c>
      <c r="CJ36" s="226" t="inlineStr">
        <is>
          <t>89,29%</t>
        </is>
      </c>
      <c r="CK36" s="227" t="inlineStr">
        <is>
          <t>-2,58%</t>
        </is>
      </c>
      <c r="CL36" s="228" t="inlineStr">
        <is>
          <t>13</t>
        </is>
      </c>
      <c r="CM36" s="229" t="inlineStr">
        <is>
          <t>2,46%</t>
        </is>
      </c>
      <c r="CN36" s="230" t="inlineStr">
        <is>
          <t>99</t>
        </is>
      </c>
      <c r="CO36" s="231" t="inlineStr">
        <is>
          <t>-6,95%</t>
        </is>
      </c>
      <c r="CP36" s="232" t="inlineStr">
        <is>
          <t>17</t>
        </is>
      </c>
      <c r="CQ36" s="233" t="inlineStr">
        <is>
          <t>1,79%</t>
        </is>
      </c>
      <c r="CR36" s="234" t="inlineStr">
        <is>
          <t>95</t>
        </is>
      </c>
      <c r="CS36" s="235" t="inlineStr">
        <is>
          <t>2,96%</t>
        </is>
      </c>
      <c r="CT36" s="236" t="inlineStr">
        <is>
          <t>99</t>
        </is>
      </c>
      <c r="CU36" s="237" t="inlineStr">
        <is>
          <t>1,97%</t>
        </is>
      </c>
      <c r="CV36" s="238" t="inlineStr">
        <is>
          <t>99</t>
        </is>
      </c>
      <c r="CW36" s="239" t="inlineStr">
        <is>
          <t>9,11x</t>
        </is>
      </c>
      <c r="CX36" s="240" t="inlineStr">
        <is>
          <t>87</t>
        </is>
      </c>
      <c r="CY36" s="241" t="inlineStr">
        <is>
          <t>0,49x</t>
        </is>
      </c>
      <c r="CZ36" s="242" t="inlineStr">
        <is>
          <t>5,72%</t>
        </is>
      </c>
      <c r="DA36" s="243" t="inlineStr">
        <is>
          <t>6,16x</t>
        </is>
      </c>
      <c r="DB36" s="244" t="inlineStr">
        <is>
          <t>84</t>
        </is>
      </c>
      <c r="DC36" s="245" t="inlineStr">
        <is>
          <t>12,06x</t>
        </is>
      </c>
      <c r="DD36" s="246" t="inlineStr">
        <is>
          <t>86</t>
        </is>
      </c>
      <c r="DE36" s="247" t="inlineStr">
        <is>
          <t>1,93x</t>
        </is>
      </c>
      <c r="DF36" s="248" t="inlineStr">
        <is>
          <t>65</t>
        </is>
      </c>
      <c r="DG36" s="249" t="inlineStr">
        <is>
          <t>10,39x</t>
        </is>
      </c>
      <c r="DH36" s="250" t="inlineStr">
        <is>
          <t>87</t>
        </is>
      </c>
      <c r="DI36" s="251" t="inlineStr">
        <is>
          <t>19,19x</t>
        </is>
      </c>
      <c r="DJ36" s="252" t="inlineStr">
        <is>
          <t>87</t>
        </is>
      </c>
      <c r="DK36" s="253" t="inlineStr">
        <is>
          <t>4,93x</t>
        </is>
      </c>
      <c r="DL36" s="254" t="inlineStr">
        <is>
          <t>79</t>
        </is>
      </c>
      <c r="DM36" s="255" t="inlineStr">
        <is>
          <t>729</t>
        </is>
      </c>
      <c r="DN36" s="256" t="inlineStr">
        <is>
          <t>-68</t>
        </is>
      </c>
      <c r="DO36" s="257" t="inlineStr">
        <is>
          <t>-8,53%</t>
        </is>
      </c>
      <c r="DP36" s="258" t="inlineStr">
        <is>
          <t>14.763</t>
        </is>
      </c>
      <c r="DQ36" s="259" t="inlineStr">
        <is>
          <t>2.061</t>
        </is>
      </c>
      <c r="DR36" s="260" t="inlineStr">
        <is>
          <t>16,23%</t>
        </is>
      </c>
      <c r="DS36" s="261" t="inlineStr">
        <is>
          <t>375</t>
        </is>
      </c>
      <c r="DT36" s="262" t="inlineStr">
        <is>
          <t>-1</t>
        </is>
      </c>
      <c r="DU36" s="263" t="inlineStr">
        <is>
          <t>-0,27%</t>
        </is>
      </c>
      <c r="DV36" s="264" t="inlineStr">
        <is>
          <t>1.832</t>
        </is>
      </c>
      <c r="DW36" s="265" t="inlineStr">
        <is>
          <t>20</t>
        </is>
      </c>
      <c r="DX36" s="266" t="inlineStr">
        <is>
          <t>1,10%</t>
        </is>
      </c>
      <c r="DY36" s="267" t="inlineStr">
        <is>
          <t>PitchBook Research</t>
        </is>
      </c>
      <c r="DZ36" s="786">
        <f>HYPERLINK("https://my.pitchbook.com?c=164282-14", "View company online")</f>
      </c>
    </row>
    <row r="37">
      <c r="A37" s="9" t="inlineStr">
        <is>
          <t>166709-89</t>
        </is>
      </c>
      <c r="B37" s="10" t="inlineStr">
        <is>
          <t>Talkbank</t>
        </is>
      </c>
      <c r="C37" s="11" t="inlineStr">
        <is>
          <t/>
        </is>
      </c>
      <c r="D37" s="12" t="inlineStr">
        <is>
          <t/>
        </is>
      </c>
      <c r="E37" s="13" t="inlineStr">
        <is>
          <t>166709-89</t>
        </is>
      </c>
      <c r="F37" s="14" t="inlineStr">
        <is>
          <t>Developer of an online banking application designed to automate customer interactions. The company's virtual banking application helps users to access digital credit card facilities, create personalized budgets and make cashless transactions during online and offline shopping, enabling banks to automate and standardize customer engagement.</t>
        </is>
      </c>
      <c r="G37" s="15" t="inlineStr">
        <is>
          <t>Information Technology</t>
        </is>
      </c>
      <c r="H37" s="16" t="inlineStr">
        <is>
          <t>Software</t>
        </is>
      </c>
      <c r="I37" s="17" t="inlineStr">
        <is>
          <t>Application Software</t>
        </is>
      </c>
      <c r="J37" s="18" t="inlineStr">
        <is>
          <t>Application Software*; Other Financial Services; Financial Software</t>
        </is>
      </c>
      <c r="K37" s="19" t="inlineStr">
        <is>
          <t>FinTech, Mobile</t>
        </is>
      </c>
      <c r="L37" s="20" t="inlineStr">
        <is>
          <t>Accelerator/Incubator Backed</t>
        </is>
      </c>
      <c r="M37" s="21" t="n">
        <v>0.88</v>
      </c>
      <c r="N37" s="22" t="inlineStr">
        <is>
          <t>Startup</t>
        </is>
      </c>
      <c r="O37" s="23" t="inlineStr">
        <is>
          <t>Privately Held (backing)</t>
        </is>
      </c>
      <c r="P37" s="24" t="inlineStr">
        <is>
          <t>Pre-venture, Private Equity</t>
        </is>
      </c>
      <c r="Q37" s="25" t="inlineStr">
        <is>
          <t>www.talkbank.io</t>
        </is>
      </c>
      <c r="R37" s="26" t="n">
        <v>3.0</v>
      </c>
      <c r="S37" s="27" t="inlineStr">
        <is>
          <t/>
        </is>
      </c>
      <c r="T37" s="28" t="inlineStr">
        <is>
          <t/>
        </is>
      </c>
      <c r="U37" s="29" t="n">
        <v>2016.0</v>
      </c>
      <c r="V37" s="30" t="inlineStr">
        <is>
          <t/>
        </is>
      </c>
      <c r="W37" s="31" t="inlineStr">
        <is>
          <t/>
        </is>
      </c>
      <c r="X37" s="32" t="inlineStr">
        <is>
          <t/>
        </is>
      </c>
      <c r="Y37" s="33" t="inlineStr">
        <is>
          <t/>
        </is>
      </c>
      <c r="Z37" s="34" t="inlineStr">
        <is>
          <t/>
        </is>
      </c>
      <c r="AA37" s="35" t="inlineStr">
        <is>
          <t/>
        </is>
      </c>
      <c r="AB37" s="36" t="inlineStr">
        <is>
          <t/>
        </is>
      </c>
      <c r="AC37" s="37" t="inlineStr">
        <is>
          <t/>
        </is>
      </c>
      <c r="AD37" s="38" t="inlineStr">
        <is>
          <t/>
        </is>
      </c>
      <c r="AE37" s="39" t="inlineStr">
        <is>
          <t>93165-40P</t>
        </is>
      </c>
      <c r="AF37" s="40" t="inlineStr">
        <is>
          <t>Mikhail Popov</t>
        </is>
      </c>
      <c r="AG37" s="41" t="inlineStr">
        <is>
          <t>Co-Founder &amp; Chief Executive Officer</t>
        </is>
      </c>
      <c r="AH37" s="42" t="inlineStr">
        <is>
          <t>m.popov@talkbank.io</t>
        </is>
      </c>
      <c r="AI37" s="43" t="inlineStr">
        <is>
          <t/>
        </is>
      </c>
      <c r="AJ37" s="44" t="inlineStr">
        <is>
          <t>Moscow, Russia</t>
        </is>
      </c>
      <c r="AK37" s="45" t="inlineStr">
        <is>
          <t/>
        </is>
      </c>
      <c r="AL37" s="46" t="inlineStr">
        <is>
          <t/>
        </is>
      </c>
      <c r="AM37" s="47" t="inlineStr">
        <is>
          <t>Moscow</t>
        </is>
      </c>
      <c r="AN37" s="48" t="inlineStr">
        <is>
          <t/>
        </is>
      </c>
      <c r="AO37" s="49" t="inlineStr">
        <is>
          <t/>
        </is>
      </c>
      <c r="AP37" s="50" t="inlineStr">
        <is>
          <t>Russia</t>
        </is>
      </c>
      <c r="AQ37" s="51" t="inlineStr">
        <is>
          <t/>
        </is>
      </c>
      <c r="AR37" s="52" t="inlineStr">
        <is>
          <t/>
        </is>
      </c>
      <c r="AS37" s="53" t="inlineStr">
        <is>
          <t>info@talkbank.io</t>
        </is>
      </c>
      <c r="AT37" s="54" t="inlineStr">
        <is>
          <t>Europe</t>
        </is>
      </c>
      <c r="AU37" s="55" t="inlineStr">
        <is>
          <t>Eastern Europe</t>
        </is>
      </c>
      <c r="AV37" s="56" t="inlineStr">
        <is>
          <t>The company raised 41 million of seed funding from Foundation for Internet Development-Initiatives and Mark Malinovsky on October 7, 2017. Prviously, the company received RUB 5 million of grant funding from Skolkovo Foundation in November 2016.</t>
        </is>
      </c>
      <c r="AW37" s="57" t="inlineStr">
        <is>
          <t>Foundation for Internet Development-Initiatives, Mark Malinovsky, Skolkovo Foundation</t>
        </is>
      </c>
      <c r="AX37" s="58" t="n">
        <v>3.0</v>
      </c>
      <c r="AY37" s="59" t="inlineStr">
        <is>
          <t/>
        </is>
      </c>
      <c r="AZ37" s="60" t="inlineStr">
        <is>
          <t/>
        </is>
      </c>
      <c r="BA37" s="61" t="inlineStr">
        <is>
          <t/>
        </is>
      </c>
      <c r="BB37" s="62" t="inlineStr">
        <is>
          <t>Foundation for Internet Development-Initiatives (www.iidf.ru), Skolkovo Foundation (www.sk.ru)</t>
        </is>
      </c>
      <c r="BC37" s="63" t="inlineStr">
        <is>
          <t/>
        </is>
      </c>
      <c r="BD37" s="64" t="inlineStr">
        <is>
          <t/>
        </is>
      </c>
      <c r="BE37" s="65" t="inlineStr">
        <is>
          <t/>
        </is>
      </c>
      <c r="BF37" s="66" t="inlineStr">
        <is>
          <t/>
        </is>
      </c>
      <c r="BG37" s="67" t="n">
        <v>42635.0</v>
      </c>
      <c r="BH37" s="68" t="n">
        <v>0.03</v>
      </c>
      <c r="BI37" s="69" t="inlineStr">
        <is>
          <t>Actual</t>
        </is>
      </c>
      <c r="BJ37" s="70" t="n">
        <v>0.41</v>
      </c>
      <c r="BK37" s="71" t="inlineStr">
        <is>
          <t>Actual</t>
        </is>
      </c>
      <c r="BL37" s="72" t="inlineStr">
        <is>
          <t>Accelerator/Incubator</t>
        </is>
      </c>
      <c r="BM37" s="73" t="inlineStr">
        <is>
          <t/>
        </is>
      </c>
      <c r="BN37" s="74" t="inlineStr">
        <is>
          <t/>
        </is>
      </c>
      <c r="BO37" s="75" t="inlineStr">
        <is>
          <t>Other</t>
        </is>
      </c>
      <c r="BP37" s="76" t="inlineStr">
        <is>
          <t/>
        </is>
      </c>
      <c r="BQ37" s="77" t="inlineStr">
        <is>
          <t/>
        </is>
      </c>
      <c r="BR37" s="78" t="inlineStr">
        <is>
          <t/>
        </is>
      </c>
      <c r="BS37" s="79" t="inlineStr">
        <is>
          <t>Completed</t>
        </is>
      </c>
      <c r="BT37" s="80" t="n">
        <v>43015.0</v>
      </c>
      <c r="BU37" s="81" t="n">
        <v>0.85</v>
      </c>
      <c r="BV37" s="82" t="inlineStr">
        <is>
          <t>Actual</t>
        </is>
      </c>
      <c r="BW37" s="83" t="inlineStr">
        <is>
          <t/>
        </is>
      </c>
      <c r="BX37" s="84" t="inlineStr">
        <is>
          <t/>
        </is>
      </c>
      <c r="BY37" s="85" t="inlineStr">
        <is>
          <t>Seed Round</t>
        </is>
      </c>
      <c r="BZ37" s="86" t="inlineStr">
        <is>
          <t>Seed</t>
        </is>
      </c>
      <c r="CA37" s="87" t="inlineStr">
        <is>
          <t/>
        </is>
      </c>
      <c r="CB37" s="88" t="inlineStr">
        <is>
          <t>Individual</t>
        </is>
      </c>
      <c r="CC37" s="89" t="inlineStr">
        <is>
          <t/>
        </is>
      </c>
      <c r="CD37" s="90" t="inlineStr">
        <is>
          <t/>
        </is>
      </c>
      <c r="CE37" s="91" t="inlineStr">
        <is>
          <t/>
        </is>
      </c>
      <c r="CF37" s="92" t="inlineStr">
        <is>
          <t>Completed</t>
        </is>
      </c>
      <c r="CG37" s="93" t="inlineStr">
        <is>
          <t>3,98%</t>
        </is>
      </c>
      <c r="CH37" s="94" t="inlineStr">
        <is>
          <t>99</t>
        </is>
      </c>
      <c r="CI37" s="95" t="inlineStr">
        <is>
          <t>0,08%</t>
        </is>
      </c>
      <c r="CJ37" s="96" t="inlineStr">
        <is>
          <t>2,13%</t>
        </is>
      </c>
      <c r="CK37" s="97" t="inlineStr">
        <is>
          <t>-5,03%</t>
        </is>
      </c>
      <c r="CL37" s="98" t="inlineStr">
        <is>
          <t>8</t>
        </is>
      </c>
      <c r="CM37" s="99" t="inlineStr">
        <is>
          <t>13,00%</t>
        </is>
      </c>
      <c r="CN37" s="100" t="inlineStr">
        <is>
          <t>100</t>
        </is>
      </c>
      <c r="CO37" s="101" t="inlineStr">
        <is>
          <t>-10,06%</t>
        </is>
      </c>
      <c r="CP37" s="102" t="inlineStr">
        <is>
          <t>13</t>
        </is>
      </c>
      <c r="CQ37" s="103" t="inlineStr">
        <is>
          <t>0,00%</t>
        </is>
      </c>
      <c r="CR37" s="104" t="inlineStr">
        <is>
          <t>20</t>
        </is>
      </c>
      <c r="CS37" s="105" t="inlineStr">
        <is>
          <t>26,00%</t>
        </is>
      </c>
      <c r="CT37" s="106" t="inlineStr">
        <is>
          <t>100</t>
        </is>
      </c>
      <c r="CU37" s="107" t="inlineStr">
        <is>
          <t>0,00%</t>
        </is>
      </c>
      <c r="CV37" s="108" t="inlineStr">
        <is>
          <t>21</t>
        </is>
      </c>
      <c r="CW37" s="109" t="inlineStr">
        <is>
          <t>1,13x</t>
        </is>
      </c>
      <c r="CX37" s="110" t="inlineStr">
        <is>
          <t>52</t>
        </is>
      </c>
      <c r="CY37" s="111" t="inlineStr">
        <is>
          <t>0,02x</t>
        </is>
      </c>
      <c r="CZ37" s="112" t="inlineStr">
        <is>
          <t>1,42%</t>
        </is>
      </c>
      <c r="DA37" s="113" t="inlineStr">
        <is>
          <t>1,44x</t>
        </is>
      </c>
      <c r="DB37" s="114" t="inlineStr">
        <is>
          <t>60</t>
        </is>
      </c>
      <c r="DC37" s="115" t="inlineStr">
        <is>
          <t>0,82x</t>
        </is>
      </c>
      <c r="DD37" s="116" t="inlineStr">
        <is>
          <t>44</t>
        </is>
      </c>
      <c r="DE37" s="117" t="inlineStr">
        <is>
          <t>0,58x</t>
        </is>
      </c>
      <c r="DF37" s="118" t="inlineStr">
        <is>
          <t>37</t>
        </is>
      </c>
      <c r="DG37" s="119" t="inlineStr">
        <is>
          <t>2,31x</t>
        </is>
      </c>
      <c r="DH37" s="120" t="inlineStr">
        <is>
          <t>67</t>
        </is>
      </c>
      <c r="DI37" s="121" t="inlineStr">
        <is>
          <t>1,47x</t>
        </is>
      </c>
      <c r="DJ37" s="122" t="inlineStr">
        <is>
          <t>57</t>
        </is>
      </c>
      <c r="DK37" s="123" t="inlineStr">
        <is>
          <t>0,17x</t>
        </is>
      </c>
      <c r="DL37" s="124" t="inlineStr">
        <is>
          <t>22</t>
        </is>
      </c>
      <c r="DM37" s="125" t="inlineStr">
        <is>
          <t>213</t>
        </is>
      </c>
      <c r="DN37" s="126" t="inlineStr">
        <is>
          <t>6</t>
        </is>
      </c>
      <c r="DO37" s="127" t="inlineStr">
        <is>
          <t>2,90%</t>
        </is>
      </c>
      <c r="DP37" s="128" t="inlineStr">
        <is>
          <t>1.151</t>
        </is>
      </c>
      <c r="DQ37" s="129" t="inlineStr">
        <is>
          <t>46</t>
        </is>
      </c>
      <c r="DR37" s="130" t="inlineStr">
        <is>
          <t>4,16%</t>
        </is>
      </c>
      <c r="DS37" s="131" t="inlineStr">
        <is>
          <t>82</t>
        </is>
      </c>
      <c r="DT37" s="132" t="inlineStr">
        <is>
          <t>1</t>
        </is>
      </c>
      <c r="DU37" s="133" t="inlineStr">
        <is>
          <t>1,23%</t>
        </is>
      </c>
      <c r="DV37" s="134" t="inlineStr">
        <is>
          <t>62</t>
        </is>
      </c>
      <c r="DW37" s="135" t="inlineStr">
        <is>
          <t>1</t>
        </is>
      </c>
      <c r="DX37" s="136" t="inlineStr">
        <is>
          <t>1,64%</t>
        </is>
      </c>
      <c r="DY37" s="137" t="inlineStr">
        <is>
          <t>PitchBook Research</t>
        </is>
      </c>
      <c r="DZ37" s="785">
        <f>HYPERLINK("https://my.pitchbook.com?c=166709-89", "View company online")</f>
      </c>
    </row>
    <row r="38">
      <c r="A38" s="139" t="inlineStr">
        <is>
          <t>186641-20</t>
        </is>
      </c>
      <c r="B38" s="140" t="inlineStr">
        <is>
          <t>Panzerdog</t>
        </is>
      </c>
      <c r="C38" s="141" t="inlineStr">
        <is>
          <t/>
        </is>
      </c>
      <c r="D38" s="142" t="inlineStr">
        <is>
          <t/>
        </is>
      </c>
      <c r="E38" s="143" t="inlineStr">
        <is>
          <t>186641-20</t>
        </is>
      </c>
      <c r="F38" s="144" t="inlineStr">
        <is>
          <t>Developer of a mobile game. The company develops mobile games, some of its games are mobile shooter- Tacticool, which is an isometric competitive game with 1-minute long 5vs5 matches blending on-foot and vehicular combat.</t>
        </is>
      </c>
      <c r="G38" s="145" t="inlineStr">
        <is>
          <t>Information Technology</t>
        </is>
      </c>
      <c r="H38" s="146" t="inlineStr">
        <is>
          <t>Software</t>
        </is>
      </c>
      <c r="I38" s="147" t="inlineStr">
        <is>
          <t>Entertainment Software</t>
        </is>
      </c>
      <c r="J38" s="148" t="inlineStr">
        <is>
          <t>Entertainment Software*</t>
        </is>
      </c>
      <c r="K38" s="149" t="inlineStr">
        <is>
          <t>Mobile</t>
        </is>
      </c>
      <c r="L38" s="150" t="inlineStr">
        <is>
          <t>Venture Capital-Backed</t>
        </is>
      </c>
      <c r="M38" s="151" t="n">
        <v>0.88</v>
      </c>
      <c r="N38" s="152" t="inlineStr">
        <is>
          <t>Product In Beta Test</t>
        </is>
      </c>
      <c r="O38" s="153" t="inlineStr">
        <is>
          <t>Privately Held (backing)</t>
        </is>
      </c>
      <c r="P38" s="154" t="inlineStr">
        <is>
          <t>Venture Capital, M&amp;A</t>
        </is>
      </c>
      <c r="Q38" s="155" t="inlineStr">
        <is>
          <t>www.panzerdog.com</t>
        </is>
      </c>
      <c r="R38" s="156" t="n">
        <v>14.0</v>
      </c>
      <c r="S38" s="157" t="inlineStr">
        <is>
          <t/>
        </is>
      </c>
      <c r="T38" s="158" t="inlineStr">
        <is>
          <t/>
        </is>
      </c>
      <c r="U38" s="159" t="n">
        <v>2016.0</v>
      </c>
      <c r="V38" s="160" t="inlineStr">
        <is>
          <t/>
        </is>
      </c>
      <c r="W38" s="161" t="inlineStr">
        <is>
          <t/>
        </is>
      </c>
      <c r="X38" s="162" t="inlineStr">
        <is>
          <t/>
        </is>
      </c>
      <c r="Y38" s="163" t="inlineStr">
        <is>
          <t/>
        </is>
      </c>
      <c r="Z38" s="164" t="inlineStr">
        <is>
          <t/>
        </is>
      </c>
      <c r="AA38" s="165" t="inlineStr">
        <is>
          <t/>
        </is>
      </c>
      <c r="AB38" s="166" t="inlineStr">
        <is>
          <t/>
        </is>
      </c>
      <c r="AC38" s="167" t="inlineStr">
        <is>
          <t/>
        </is>
      </c>
      <c r="AD38" s="168" t="inlineStr">
        <is>
          <t/>
        </is>
      </c>
      <c r="AE38" s="169" t="inlineStr">
        <is>
          <t>171135-55P</t>
        </is>
      </c>
      <c r="AF38" s="170" t="inlineStr">
        <is>
          <t>Alexey Sazonov</t>
        </is>
      </c>
      <c r="AG38" s="171" t="inlineStr">
        <is>
          <t>Chief Executive Officer &amp; Co-Founder</t>
        </is>
      </c>
      <c r="AH38" s="172" t="inlineStr">
        <is>
          <t>sazonov@panzerdog.com</t>
        </is>
      </c>
      <c r="AI38" s="173" t="inlineStr">
        <is>
          <t>+358 (0)93 158 9580</t>
        </is>
      </c>
      <c r="AJ38" s="174" t="inlineStr">
        <is>
          <t>Helsinki, Finland</t>
        </is>
      </c>
      <c r="AK38" s="175" t="inlineStr">
        <is>
          <t>Pasilankatu 2</t>
        </is>
      </c>
      <c r="AL38" s="176" t="inlineStr">
        <is>
          <t/>
        </is>
      </c>
      <c r="AM38" s="177" t="inlineStr">
        <is>
          <t>Helsinki</t>
        </is>
      </c>
      <c r="AN38" s="178" t="inlineStr">
        <is>
          <t/>
        </is>
      </c>
      <c r="AO38" s="179" t="inlineStr">
        <is>
          <t>00240</t>
        </is>
      </c>
      <c r="AP38" s="180" t="inlineStr">
        <is>
          <t>Finland</t>
        </is>
      </c>
      <c r="AQ38" s="181" t="inlineStr">
        <is>
          <t>+358 (0)93 158 9580</t>
        </is>
      </c>
      <c r="AR38" s="182" t="inlineStr">
        <is>
          <t/>
        </is>
      </c>
      <c r="AS38" s="183" t="inlineStr">
        <is>
          <t>info@panzerdog.com</t>
        </is>
      </c>
      <c r="AT38" s="184" t="inlineStr">
        <is>
          <t>Europe</t>
        </is>
      </c>
      <c r="AU38" s="185" t="inlineStr">
        <is>
          <t>Northern Europe</t>
        </is>
      </c>
      <c r="AV38" s="186" t="inlineStr">
        <is>
          <t>The company raised EUR 800,000 of Seed funding from Mail.Ru Group's Game Ventures on September 18, 2017. The funds will be used to finish the development of Tacticool and to enter an international market later on.</t>
        </is>
      </c>
      <c r="AW38" s="187" t="inlineStr">
        <is>
          <t>Aii Corporation, Mail.Ru Games Ventures</t>
        </is>
      </c>
      <c r="AX38" s="188" t="n">
        <v>2.0</v>
      </c>
      <c r="AY38" s="189" t="inlineStr">
        <is>
          <t/>
        </is>
      </c>
      <c r="AZ38" s="190" t="inlineStr">
        <is>
          <t/>
        </is>
      </c>
      <c r="BA38" s="191" t="inlineStr">
        <is>
          <t/>
        </is>
      </c>
      <c r="BB38" s="192" t="inlineStr">
        <is>
          <t>Aii Corporation (www.aii-corporation.com), Mail.Ru Games Ventures (www.gamesventures.mail.ru)</t>
        </is>
      </c>
      <c r="BC38" s="193" t="inlineStr">
        <is>
          <t/>
        </is>
      </c>
      <c r="BD38" s="194" t="inlineStr">
        <is>
          <t/>
        </is>
      </c>
      <c r="BE38" s="195" t="inlineStr">
        <is>
          <t/>
        </is>
      </c>
      <c r="BF38" s="196" t="inlineStr">
        <is>
          <t/>
        </is>
      </c>
      <c r="BG38" s="197" t="inlineStr">
        <is>
          <t/>
        </is>
      </c>
      <c r="BH38" s="198" t="n">
        <v>0.09</v>
      </c>
      <c r="BI38" s="199" t="inlineStr">
        <is>
          <t>Actual</t>
        </is>
      </c>
      <c r="BJ38" s="200" t="inlineStr">
        <is>
          <t/>
        </is>
      </c>
      <c r="BK38" s="201" t="inlineStr">
        <is>
          <t/>
        </is>
      </c>
      <c r="BL38" s="202" t="inlineStr">
        <is>
          <t>Early Stage VC</t>
        </is>
      </c>
      <c r="BM38" s="203" t="inlineStr">
        <is>
          <t/>
        </is>
      </c>
      <c r="BN38" s="204" t="inlineStr">
        <is>
          <t/>
        </is>
      </c>
      <c r="BO38" s="205" t="inlineStr">
        <is>
          <t>Venture Capital</t>
        </is>
      </c>
      <c r="BP38" s="206" t="inlineStr">
        <is>
          <t/>
        </is>
      </c>
      <c r="BQ38" s="207" t="inlineStr">
        <is>
          <t/>
        </is>
      </c>
      <c r="BR38" s="208" t="inlineStr">
        <is>
          <t/>
        </is>
      </c>
      <c r="BS38" s="209" t="inlineStr">
        <is>
          <t>Completed</t>
        </is>
      </c>
      <c r="BT38" s="210" t="n">
        <v>42996.0</v>
      </c>
      <c r="BU38" s="211" t="n">
        <v>0.8</v>
      </c>
      <c r="BV38" s="212" t="inlineStr">
        <is>
          <t>Actual</t>
        </is>
      </c>
      <c r="BW38" s="213" t="inlineStr">
        <is>
          <t/>
        </is>
      </c>
      <c r="BX38" s="214" t="inlineStr">
        <is>
          <t/>
        </is>
      </c>
      <c r="BY38" s="215" t="inlineStr">
        <is>
          <t>Seed Round</t>
        </is>
      </c>
      <c r="BZ38" s="216" t="inlineStr">
        <is>
          <t>Seed</t>
        </is>
      </c>
      <c r="CA38" s="217" t="inlineStr">
        <is>
          <t/>
        </is>
      </c>
      <c r="CB38" s="218" t="inlineStr">
        <is>
          <t>Venture Capital</t>
        </is>
      </c>
      <c r="CC38" s="219" t="inlineStr">
        <is>
          <t/>
        </is>
      </c>
      <c r="CD38" s="220" t="inlineStr">
        <is>
          <t/>
        </is>
      </c>
      <c r="CE38" s="221" t="inlineStr">
        <is>
          <t/>
        </is>
      </c>
      <c r="CF38" s="222" t="inlineStr">
        <is>
          <t>Completed</t>
        </is>
      </c>
      <c r="CG38" s="223" t="inlineStr">
        <is>
          <t>0,00%</t>
        </is>
      </c>
      <c r="CH38" s="224" t="inlineStr">
        <is>
          <t>33</t>
        </is>
      </c>
      <c r="CI38" s="225" t="inlineStr">
        <is>
          <t/>
        </is>
      </c>
      <c r="CJ38" s="226" t="inlineStr">
        <is>
          <t/>
        </is>
      </c>
      <c r="CK38" s="227" t="inlineStr">
        <is>
          <t>0,00%</t>
        </is>
      </c>
      <c r="CL38" s="228" t="inlineStr">
        <is>
          <t>28</t>
        </is>
      </c>
      <c r="CM38" s="229" t="inlineStr">
        <is>
          <t/>
        </is>
      </c>
      <c r="CN38" s="230" t="inlineStr">
        <is>
          <t/>
        </is>
      </c>
      <c r="CO38" s="231" t="inlineStr">
        <is>
          <t/>
        </is>
      </c>
      <c r="CP38" s="232" t="inlineStr">
        <is>
          <t/>
        </is>
      </c>
      <c r="CQ38" s="233" t="inlineStr">
        <is>
          <t>0,00%</t>
        </is>
      </c>
      <c r="CR38" s="234" t="inlineStr">
        <is>
          <t>20</t>
        </is>
      </c>
      <c r="CS38" s="235" t="inlineStr">
        <is>
          <t/>
        </is>
      </c>
      <c r="CT38" s="236" t="inlineStr">
        <is>
          <t/>
        </is>
      </c>
      <c r="CU38" s="237" t="inlineStr">
        <is>
          <t/>
        </is>
      </c>
      <c r="CV38" s="238" t="inlineStr">
        <is>
          <t/>
        </is>
      </c>
      <c r="CW38" s="239" t="inlineStr">
        <is>
          <t>1,64x</t>
        </is>
      </c>
      <c r="CX38" s="240" t="inlineStr">
        <is>
          <t>60</t>
        </is>
      </c>
      <c r="CY38" s="241" t="inlineStr">
        <is>
          <t/>
        </is>
      </c>
      <c r="CZ38" s="242" t="inlineStr">
        <is>
          <t/>
        </is>
      </c>
      <c r="DA38" s="243" t="inlineStr">
        <is>
          <t>1,64x</t>
        </is>
      </c>
      <c r="DB38" s="244" t="inlineStr">
        <is>
          <t>62</t>
        </is>
      </c>
      <c r="DC38" s="245" t="inlineStr">
        <is>
          <t/>
        </is>
      </c>
      <c r="DD38" s="246" t="inlineStr">
        <is>
          <t/>
        </is>
      </c>
      <c r="DE38" s="247" t="inlineStr">
        <is>
          <t/>
        </is>
      </c>
      <c r="DF38" s="248" t="inlineStr">
        <is>
          <t/>
        </is>
      </c>
      <c r="DG38" s="249" t="inlineStr">
        <is>
          <t>1,64x</t>
        </is>
      </c>
      <c r="DH38" s="250" t="inlineStr">
        <is>
          <t>61</t>
        </is>
      </c>
      <c r="DI38" s="251" t="inlineStr">
        <is>
          <t/>
        </is>
      </c>
      <c r="DJ38" s="252" t="inlineStr">
        <is>
          <t/>
        </is>
      </c>
      <c r="DK38" s="253" t="inlineStr">
        <is>
          <t/>
        </is>
      </c>
      <c r="DL38" s="254" t="inlineStr">
        <is>
          <t/>
        </is>
      </c>
      <c r="DM38" s="255" t="inlineStr">
        <is>
          <t/>
        </is>
      </c>
      <c r="DN38" s="256" t="inlineStr">
        <is>
          <t/>
        </is>
      </c>
      <c r="DO38" s="257" t="inlineStr">
        <is>
          <t/>
        </is>
      </c>
      <c r="DP38" s="258" t="inlineStr">
        <is>
          <t/>
        </is>
      </c>
      <c r="DQ38" s="259" t="inlineStr">
        <is>
          <t/>
        </is>
      </c>
      <c r="DR38" s="260" t="inlineStr">
        <is>
          <t/>
        </is>
      </c>
      <c r="DS38" s="261" t="inlineStr">
        <is>
          <t>59</t>
        </is>
      </c>
      <c r="DT38" s="262" t="inlineStr">
        <is>
          <t>1</t>
        </is>
      </c>
      <c r="DU38" s="263" t="inlineStr">
        <is>
          <t>1,72%</t>
        </is>
      </c>
      <c r="DV38" s="264" t="inlineStr">
        <is>
          <t/>
        </is>
      </c>
      <c r="DW38" s="265" t="inlineStr">
        <is>
          <t/>
        </is>
      </c>
      <c r="DX38" s="266" t="inlineStr">
        <is>
          <t/>
        </is>
      </c>
      <c r="DY38" s="267" t="inlineStr">
        <is>
          <t>PitchBook Research</t>
        </is>
      </c>
      <c r="DZ38" s="786">
        <f>HYPERLINK("https://my.pitchbook.com?c=186641-20", "View company online")</f>
      </c>
    </row>
    <row r="39">
      <c r="A39" s="9" t="inlineStr">
        <is>
          <t>102473-11</t>
        </is>
      </c>
      <c r="B39" s="10" t="inlineStr">
        <is>
          <t>OfficeR&amp;D</t>
        </is>
      </c>
      <c r="C39" s="11" t="inlineStr">
        <is>
          <t/>
        </is>
      </c>
      <c r="D39" s="12" t="inlineStr">
        <is>
          <t/>
        </is>
      </c>
      <c r="E39" s="13" t="inlineStr">
        <is>
          <t>102473-11</t>
        </is>
      </c>
      <c r="F39" s="14" t="inlineStr">
        <is>
          <t>Provider of a next generation coworking and flexible workspace platform intended to manage members, billing, space, occupancy and bookings. The company's data-driven management platform for coworking spaces, serviced offices and business centres creates office space plans, organize office rooms, desks and handle processes of the space in a visual and intuitive way, enables the office managers to achieve operational excellence, reduce costs and build an engaged community.</t>
        </is>
      </c>
      <c r="G39" s="15" t="inlineStr">
        <is>
          <t>Information Technology</t>
        </is>
      </c>
      <c r="H39" s="16" t="inlineStr">
        <is>
          <t>Software</t>
        </is>
      </c>
      <c r="I39" s="17" t="inlineStr">
        <is>
          <t>Business/Productivity Software</t>
        </is>
      </c>
      <c r="J39" s="18" t="inlineStr">
        <is>
          <t>Business/Productivity Software*; Automation/Workflow Software</t>
        </is>
      </c>
      <c r="K39" s="19" t="inlineStr">
        <is>
          <t>SaaS</t>
        </is>
      </c>
      <c r="L39" s="20" t="inlineStr">
        <is>
          <t>Venture Capital-Backed</t>
        </is>
      </c>
      <c r="M39" s="21" t="n">
        <v>0.89</v>
      </c>
      <c r="N39" s="22" t="inlineStr">
        <is>
          <t>Generating Revenue</t>
        </is>
      </c>
      <c r="O39" s="23" t="inlineStr">
        <is>
          <t>Privately Held (backing)</t>
        </is>
      </c>
      <c r="P39" s="24" t="inlineStr">
        <is>
          <t>Venture Capital</t>
        </is>
      </c>
      <c r="Q39" s="25" t="inlineStr">
        <is>
          <t>www.officernd.com</t>
        </is>
      </c>
      <c r="R39" s="26" t="n">
        <v>5.0</v>
      </c>
      <c r="S39" s="27" t="inlineStr">
        <is>
          <t/>
        </is>
      </c>
      <c r="T39" s="28" t="inlineStr">
        <is>
          <t/>
        </is>
      </c>
      <c r="U39" s="29" t="n">
        <v>2014.0</v>
      </c>
      <c r="V39" s="30" t="inlineStr">
        <is>
          <t/>
        </is>
      </c>
      <c r="W39" s="31" t="inlineStr">
        <is>
          <t/>
        </is>
      </c>
      <c r="X39" s="32" t="inlineStr">
        <is>
          <t/>
        </is>
      </c>
      <c r="Y39" s="33" t="inlineStr">
        <is>
          <t/>
        </is>
      </c>
      <c r="Z39" s="34" t="inlineStr">
        <is>
          <t/>
        </is>
      </c>
      <c r="AA39" s="35" t="inlineStr">
        <is>
          <t/>
        </is>
      </c>
      <c r="AB39" s="36" t="inlineStr">
        <is>
          <t/>
        </is>
      </c>
      <c r="AC39" s="37" t="inlineStr">
        <is>
          <t/>
        </is>
      </c>
      <c r="AD39" s="38" t="inlineStr">
        <is>
          <t/>
        </is>
      </c>
      <c r="AE39" s="39" t="inlineStr">
        <is>
          <t>149016-25P</t>
        </is>
      </c>
      <c r="AF39" s="40" t="inlineStr">
        <is>
          <t>Miroslav Miroslavov</t>
        </is>
      </c>
      <c r="AG39" s="41" t="inlineStr">
        <is>
          <t>Co-Founder, Board Member &amp; Chief Executive Officer</t>
        </is>
      </c>
      <c r="AH39" s="42" t="inlineStr">
        <is>
          <t>miroslav.miroslavov@officernd.com</t>
        </is>
      </c>
      <c r="AI39" s="43" t="inlineStr">
        <is>
          <t/>
        </is>
      </c>
      <c r="AJ39" s="44" t="inlineStr">
        <is>
          <t>Horsham, United Kingdom</t>
        </is>
      </c>
      <c r="AK39" s="45" t="inlineStr">
        <is>
          <t>Anova House, Wickhurst Lane</t>
        </is>
      </c>
      <c r="AL39" s="46" t="inlineStr">
        <is>
          <t>Broadbridge Heath</t>
        </is>
      </c>
      <c r="AM39" s="47" t="inlineStr">
        <is>
          <t>Horsham</t>
        </is>
      </c>
      <c r="AN39" s="48" t="inlineStr">
        <is>
          <t>England</t>
        </is>
      </c>
      <c r="AO39" s="49" t="inlineStr">
        <is>
          <t>RH12 3LZ</t>
        </is>
      </c>
      <c r="AP39" s="50" t="inlineStr">
        <is>
          <t>United Kingdom</t>
        </is>
      </c>
      <c r="AQ39" s="51" t="inlineStr">
        <is>
          <t/>
        </is>
      </c>
      <c r="AR39" s="52" t="inlineStr">
        <is>
          <t/>
        </is>
      </c>
      <c r="AS39" s="53" t="inlineStr">
        <is>
          <t>info@officernd.com</t>
        </is>
      </c>
      <c r="AT39" s="54" t="inlineStr">
        <is>
          <t>Europe</t>
        </is>
      </c>
      <c r="AU39" s="55" t="inlineStr">
        <is>
          <t>Western Europe</t>
        </is>
      </c>
      <c r="AV39" s="56" t="inlineStr">
        <is>
          <t>The company raised $1 million of seed funding in a deal led by LAUNCHub Ventures on November 16, 2017. Founders of Telerik and Constant Tedder and other undisclosed investors also participated. The investment will be used to triple the size of the OfficeR&amp;D team and advance OfficeR&amp;D's product development to keep pace in the co-working industry, while also adding new functionality for real estate and property management.</t>
        </is>
      </c>
      <c r="AW39" s="57" t="inlineStr">
        <is>
          <t>LAUNCHub Ventures, Property Innovation Labs</t>
        </is>
      </c>
      <c r="AX39" s="58" t="n">
        <v>2.0</v>
      </c>
      <c r="AY39" s="59" t="inlineStr">
        <is>
          <t/>
        </is>
      </c>
      <c r="AZ39" s="60" t="inlineStr">
        <is>
          <t/>
        </is>
      </c>
      <c r="BA39" s="61" t="inlineStr">
        <is>
          <t/>
        </is>
      </c>
      <c r="BB39" s="62" t="inlineStr">
        <is>
          <t>LAUNCHub Ventures (www.launchub.vc), Property Innovation Labs (www.pilabs.co.uk)</t>
        </is>
      </c>
      <c r="BC39" s="63" t="inlineStr">
        <is>
          <t/>
        </is>
      </c>
      <c r="BD39" s="64" t="inlineStr">
        <is>
          <t/>
        </is>
      </c>
      <c r="BE39" s="65" t="inlineStr">
        <is>
          <t/>
        </is>
      </c>
      <c r="BF39" s="66" t="inlineStr">
        <is>
          <t/>
        </is>
      </c>
      <c r="BG39" s="67" t="n">
        <v>42029.0</v>
      </c>
      <c r="BH39" s="68" t="inlineStr">
        <is>
          <t/>
        </is>
      </c>
      <c r="BI39" s="69" t="inlineStr">
        <is>
          <t/>
        </is>
      </c>
      <c r="BJ39" s="70" t="inlineStr">
        <is>
          <t/>
        </is>
      </c>
      <c r="BK39" s="71" t="inlineStr">
        <is>
          <t/>
        </is>
      </c>
      <c r="BL39" s="72" t="inlineStr">
        <is>
          <t>Accelerator/Incubator</t>
        </is>
      </c>
      <c r="BM39" s="73" t="inlineStr">
        <is>
          <t/>
        </is>
      </c>
      <c r="BN39" s="74" t="inlineStr">
        <is>
          <t/>
        </is>
      </c>
      <c r="BO39" s="75" t="inlineStr">
        <is>
          <t>Other</t>
        </is>
      </c>
      <c r="BP39" s="76" t="inlineStr">
        <is>
          <t/>
        </is>
      </c>
      <c r="BQ39" s="77" t="inlineStr">
        <is>
          <t/>
        </is>
      </c>
      <c r="BR39" s="78" t="inlineStr">
        <is>
          <t/>
        </is>
      </c>
      <c r="BS39" s="79" t="inlineStr">
        <is>
          <t>Completed</t>
        </is>
      </c>
      <c r="BT39" s="80" t="n">
        <v>43055.0</v>
      </c>
      <c r="BU39" s="81" t="n">
        <v>0.85</v>
      </c>
      <c r="BV39" s="82" t="inlineStr">
        <is>
          <t>Actual</t>
        </is>
      </c>
      <c r="BW39" s="83" t="inlineStr">
        <is>
          <t/>
        </is>
      </c>
      <c r="BX39" s="84" t="inlineStr">
        <is>
          <t/>
        </is>
      </c>
      <c r="BY39" s="85" t="inlineStr">
        <is>
          <t>Seed Round</t>
        </is>
      </c>
      <c r="BZ39" s="86" t="inlineStr">
        <is>
          <t>Seed</t>
        </is>
      </c>
      <c r="CA39" s="87" t="inlineStr">
        <is>
          <t/>
        </is>
      </c>
      <c r="CB39" s="88" t="inlineStr">
        <is>
          <t>Venture Capital</t>
        </is>
      </c>
      <c r="CC39" s="89" t="inlineStr">
        <is>
          <t/>
        </is>
      </c>
      <c r="CD39" s="90" t="inlineStr">
        <is>
          <t/>
        </is>
      </c>
      <c r="CE39" s="91" t="inlineStr">
        <is>
          <t/>
        </is>
      </c>
      <c r="CF39" s="92" t="inlineStr">
        <is>
          <t>Completed</t>
        </is>
      </c>
      <c r="CG39" s="93" t="inlineStr">
        <is>
          <t>-1,29%</t>
        </is>
      </c>
      <c r="CH39" s="94" t="inlineStr">
        <is>
          <t>12</t>
        </is>
      </c>
      <c r="CI39" s="95" t="inlineStr">
        <is>
          <t>0,05%</t>
        </is>
      </c>
      <c r="CJ39" s="96" t="inlineStr">
        <is>
          <t>3,77%</t>
        </is>
      </c>
      <c r="CK39" s="97" t="inlineStr">
        <is>
          <t>-2,89%</t>
        </is>
      </c>
      <c r="CL39" s="98" t="inlineStr">
        <is>
          <t>12</t>
        </is>
      </c>
      <c r="CM39" s="99" t="inlineStr">
        <is>
          <t>0,31%</t>
        </is>
      </c>
      <c r="CN39" s="100" t="inlineStr">
        <is>
          <t>81</t>
        </is>
      </c>
      <c r="CO39" s="101" t="inlineStr">
        <is>
          <t>-5,78%</t>
        </is>
      </c>
      <c r="CP39" s="102" t="inlineStr">
        <is>
          <t>20</t>
        </is>
      </c>
      <c r="CQ39" s="103" t="inlineStr">
        <is>
          <t>0,00%</t>
        </is>
      </c>
      <c r="CR39" s="104" t="inlineStr">
        <is>
          <t>20</t>
        </is>
      </c>
      <c r="CS39" s="105" t="inlineStr">
        <is>
          <t>0,42%</t>
        </is>
      </c>
      <c r="CT39" s="106" t="inlineStr">
        <is>
          <t>84</t>
        </is>
      </c>
      <c r="CU39" s="107" t="inlineStr">
        <is>
          <t>0,19%</t>
        </is>
      </c>
      <c r="CV39" s="108" t="inlineStr">
        <is>
          <t>75</t>
        </is>
      </c>
      <c r="CW39" s="109" t="inlineStr">
        <is>
          <t>1,39x</t>
        </is>
      </c>
      <c r="CX39" s="110" t="inlineStr">
        <is>
          <t>57</t>
        </is>
      </c>
      <c r="CY39" s="111" t="inlineStr">
        <is>
          <t>-0,01x</t>
        </is>
      </c>
      <c r="CZ39" s="112" t="inlineStr">
        <is>
          <t>-0,47%</t>
        </is>
      </c>
      <c r="DA39" s="113" t="inlineStr">
        <is>
          <t>1,10x</t>
        </is>
      </c>
      <c r="DB39" s="114" t="inlineStr">
        <is>
          <t>53</t>
        </is>
      </c>
      <c r="DC39" s="115" t="inlineStr">
        <is>
          <t>1,69x</t>
        </is>
      </c>
      <c r="DD39" s="116" t="inlineStr">
        <is>
          <t>59</t>
        </is>
      </c>
      <c r="DE39" s="117" t="inlineStr">
        <is>
          <t>1,34x</t>
        </is>
      </c>
      <c r="DF39" s="118" t="inlineStr">
        <is>
          <t>57</t>
        </is>
      </c>
      <c r="DG39" s="119" t="inlineStr">
        <is>
          <t>0,86x</t>
        </is>
      </c>
      <c r="DH39" s="120" t="inlineStr">
        <is>
          <t>47</t>
        </is>
      </c>
      <c r="DI39" s="121" t="inlineStr">
        <is>
          <t>0,84x</t>
        </is>
      </c>
      <c r="DJ39" s="122" t="inlineStr">
        <is>
          <t>47</t>
        </is>
      </c>
      <c r="DK39" s="123" t="inlineStr">
        <is>
          <t>2,54x</t>
        </is>
      </c>
      <c r="DL39" s="124" t="inlineStr">
        <is>
          <t>68</t>
        </is>
      </c>
      <c r="DM39" s="125" t="inlineStr">
        <is>
          <t>489</t>
        </is>
      </c>
      <c r="DN39" s="126" t="inlineStr">
        <is>
          <t>31</t>
        </is>
      </c>
      <c r="DO39" s="127" t="inlineStr">
        <is>
          <t>6,77%</t>
        </is>
      </c>
      <c r="DP39" s="128" t="inlineStr">
        <is>
          <t>662</t>
        </is>
      </c>
      <c r="DQ39" s="129" t="inlineStr">
        <is>
          <t>11</t>
        </is>
      </c>
      <c r="DR39" s="130" t="inlineStr">
        <is>
          <t>1,69%</t>
        </is>
      </c>
      <c r="DS39" s="131" t="inlineStr">
        <is>
          <t>31</t>
        </is>
      </c>
      <c r="DT39" s="132" t="inlineStr">
        <is>
          <t>0</t>
        </is>
      </c>
      <c r="DU39" s="133" t="inlineStr">
        <is>
          <t>0,00%</t>
        </is>
      </c>
      <c r="DV39" s="134" t="inlineStr">
        <is>
          <t>947</t>
        </is>
      </c>
      <c r="DW39" s="135" t="inlineStr">
        <is>
          <t>6</t>
        </is>
      </c>
      <c r="DX39" s="136" t="inlineStr">
        <is>
          <t>0,64%</t>
        </is>
      </c>
      <c r="DY39" s="137" t="inlineStr">
        <is>
          <t>PitchBook Research</t>
        </is>
      </c>
      <c r="DZ39" s="785">
        <f>HYPERLINK("https://my.pitchbook.com?c=102473-11", "View company online")</f>
      </c>
    </row>
    <row r="40">
      <c r="A40" s="139" t="inlineStr">
        <is>
          <t>184180-69</t>
        </is>
      </c>
      <c r="B40" s="140" t="inlineStr">
        <is>
          <t>CloudRanger</t>
        </is>
      </c>
      <c r="C40" s="141" t="inlineStr">
        <is>
          <t/>
        </is>
      </c>
      <c r="D40" s="142" t="inlineStr">
        <is>
          <t/>
        </is>
      </c>
      <c r="E40" s="143" t="inlineStr">
        <is>
          <t>184180-69</t>
        </is>
      </c>
      <c r="F40" s="144" t="inlineStr">
        <is>
          <t>Provider of Saas based server management platform created to deliver cloud server management software for businesses, MSPs and enterprises. The company's server management platform specializing in bringing simplicity and automation to the management of Amazon Web Services (AWS) cloud resources, enabling users to easily automate backup policies for EC2 and RDS resources as well as scheduling servers to start and stop at specific times to meet business requirements and significantly save on costs.</t>
        </is>
      </c>
      <c r="G40" s="145" t="inlineStr">
        <is>
          <t>Information Technology</t>
        </is>
      </c>
      <c r="H40" s="146" t="inlineStr">
        <is>
          <t>Software</t>
        </is>
      </c>
      <c r="I40" s="147" t="inlineStr">
        <is>
          <t>Automation/Workflow Software</t>
        </is>
      </c>
      <c r="J40" s="148" t="inlineStr">
        <is>
          <t>Automation/Workflow Software*; Database Software; Business/Productivity Software</t>
        </is>
      </c>
      <c r="K40" s="149" t="inlineStr">
        <is>
          <t>SaaS</t>
        </is>
      </c>
      <c r="L40" s="150" t="inlineStr">
        <is>
          <t>Venture Capital-Backed</t>
        </is>
      </c>
      <c r="M40" s="151" t="n">
        <v>0.92</v>
      </c>
      <c r="N40" s="152" t="inlineStr">
        <is>
          <t>Generating Revenue</t>
        </is>
      </c>
      <c r="O40" s="153" t="inlineStr">
        <is>
          <t>Privately Held (backing)</t>
        </is>
      </c>
      <c r="P40" s="154" t="inlineStr">
        <is>
          <t>Venture Capital</t>
        </is>
      </c>
      <c r="Q40" s="155" t="inlineStr">
        <is>
          <t>www.cloudranger.com</t>
        </is>
      </c>
      <c r="R40" s="156" t="n">
        <v>20.0</v>
      </c>
      <c r="S40" s="157" t="inlineStr">
        <is>
          <t/>
        </is>
      </c>
      <c r="T40" s="158" t="inlineStr">
        <is>
          <t/>
        </is>
      </c>
      <c r="U40" s="159" t="n">
        <v>2014.0</v>
      </c>
      <c r="V40" s="160" t="inlineStr">
        <is>
          <t/>
        </is>
      </c>
      <c r="W40" s="161" t="inlineStr">
        <is>
          <t/>
        </is>
      </c>
      <c r="X40" s="162" t="inlineStr">
        <is>
          <t/>
        </is>
      </c>
      <c r="Y40" s="163" t="inlineStr">
        <is>
          <t/>
        </is>
      </c>
      <c r="Z40" s="164" t="inlineStr">
        <is>
          <t/>
        </is>
      </c>
      <c r="AA40" s="165" t="inlineStr">
        <is>
          <t/>
        </is>
      </c>
      <c r="AB40" s="166" t="inlineStr">
        <is>
          <t/>
        </is>
      </c>
      <c r="AC40" s="167" t="inlineStr">
        <is>
          <t/>
        </is>
      </c>
      <c r="AD40" s="168" t="inlineStr">
        <is>
          <t/>
        </is>
      </c>
      <c r="AE40" s="169" t="inlineStr">
        <is>
          <t>171649-18P</t>
        </is>
      </c>
      <c r="AF40" s="170" t="inlineStr">
        <is>
          <t>David Gildea</t>
        </is>
      </c>
      <c r="AG40" s="171" t="inlineStr">
        <is>
          <t>Founder &amp; Chief Executive Officer</t>
        </is>
      </c>
      <c r="AH40" s="172" t="inlineStr">
        <is>
          <t>david.gildea@cloudranger.com</t>
        </is>
      </c>
      <c r="AI40" s="173" t="inlineStr">
        <is>
          <t/>
        </is>
      </c>
      <c r="AJ40" s="174" t="inlineStr">
        <is>
          <t>Donegal, Ireland</t>
        </is>
      </c>
      <c r="AK40" s="175" t="inlineStr">
        <is>
          <t>Colab, LYIT</t>
        </is>
      </c>
      <c r="AL40" s="176" t="inlineStr">
        <is>
          <t>Port Rd, Ballyraine, Letterkenny, Co.</t>
        </is>
      </c>
      <c r="AM40" s="177" t="inlineStr">
        <is>
          <t>Donegal</t>
        </is>
      </c>
      <c r="AN40" s="178" t="inlineStr">
        <is>
          <t>Ulster</t>
        </is>
      </c>
      <c r="AO40" s="179" t="inlineStr">
        <is>
          <t/>
        </is>
      </c>
      <c r="AP40" s="180" t="inlineStr">
        <is>
          <t>Ireland</t>
        </is>
      </c>
      <c r="AQ40" s="181" t="inlineStr">
        <is>
          <t/>
        </is>
      </c>
      <c r="AR40" s="182" t="inlineStr">
        <is>
          <t/>
        </is>
      </c>
      <c r="AS40" s="183" t="inlineStr">
        <is>
          <t>info@v2.cloudranger.com</t>
        </is>
      </c>
      <c r="AT40" s="184" t="inlineStr">
        <is>
          <t>Europe</t>
        </is>
      </c>
      <c r="AU40" s="185" t="inlineStr">
        <is>
          <t>Western Europe</t>
        </is>
      </c>
      <c r="AV40" s="186" t="inlineStr">
        <is>
          <t>The company is in talks to raise an undisclosed amount of Series A venture funding as of September 27, 2017. The company looks to complete its Series A within the next 12 months. Previously, the company raised $1.1 million of seed funding from Enterprise Ireland and several undisclosed private investors on September 27, 2017. The company intends to use the funds to support developer hires and product development. The company is being actively tracked by PitchBook.</t>
        </is>
      </c>
      <c r="AW40" s="187" t="inlineStr">
        <is>
          <t>Enterprise Ireland</t>
        </is>
      </c>
      <c r="AX40" s="188" t="n">
        <v>1.0</v>
      </c>
      <c r="AY40" s="189" t="inlineStr">
        <is>
          <t/>
        </is>
      </c>
      <c r="AZ40" s="190" t="inlineStr">
        <is>
          <t/>
        </is>
      </c>
      <c r="BA40" s="191" t="inlineStr">
        <is>
          <t/>
        </is>
      </c>
      <c r="BB40" s="192" t="inlineStr">
        <is>
          <t>Enterprise Ireland (www.enterprise-ireland.com)</t>
        </is>
      </c>
      <c r="BC40" s="193" t="inlineStr">
        <is>
          <t/>
        </is>
      </c>
      <c r="BD40" s="194" t="inlineStr">
        <is>
          <t/>
        </is>
      </c>
      <c r="BE40" s="195" t="inlineStr">
        <is>
          <t/>
        </is>
      </c>
      <c r="BF40" s="196" t="inlineStr">
        <is>
          <t/>
        </is>
      </c>
      <c r="BG40" s="197" t="n">
        <v>43005.0</v>
      </c>
      <c r="BH40" s="198" t="n">
        <v>0.92</v>
      </c>
      <c r="BI40" s="199" t="inlineStr">
        <is>
          <t>Actual</t>
        </is>
      </c>
      <c r="BJ40" s="200" t="inlineStr">
        <is>
          <t/>
        </is>
      </c>
      <c r="BK40" s="201" t="inlineStr">
        <is>
          <t/>
        </is>
      </c>
      <c r="BL40" s="202" t="inlineStr">
        <is>
          <t>Seed Round</t>
        </is>
      </c>
      <c r="BM40" s="203" t="inlineStr">
        <is>
          <t>Seed</t>
        </is>
      </c>
      <c r="BN40" s="204" t="inlineStr">
        <is>
          <t/>
        </is>
      </c>
      <c r="BO40" s="205" t="inlineStr">
        <is>
          <t>Venture Capital</t>
        </is>
      </c>
      <c r="BP40" s="206" t="inlineStr">
        <is>
          <t/>
        </is>
      </c>
      <c r="BQ40" s="207" t="inlineStr">
        <is>
          <t/>
        </is>
      </c>
      <c r="BR40" s="208" t="inlineStr">
        <is>
          <t/>
        </is>
      </c>
      <c r="BS40" s="209" t="inlineStr">
        <is>
          <t>Completed</t>
        </is>
      </c>
      <c r="BT40" s="210" t="inlineStr">
        <is>
          <t/>
        </is>
      </c>
      <c r="BU40" s="211" t="inlineStr">
        <is>
          <t/>
        </is>
      </c>
      <c r="BV40" s="212" t="inlineStr">
        <is>
          <t/>
        </is>
      </c>
      <c r="BW40" s="213" t="inlineStr">
        <is>
          <t/>
        </is>
      </c>
      <c r="BX40" s="214" t="inlineStr">
        <is>
          <t/>
        </is>
      </c>
      <c r="BY40" s="215" t="inlineStr">
        <is>
          <t>Early Stage VC</t>
        </is>
      </c>
      <c r="BZ40" s="216" t="inlineStr">
        <is>
          <t>Series A</t>
        </is>
      </c>
      <c r="CA40" s="217" t="inlineStr">
        <is>
          <t/>
        </is>
      </c>
      <c r="CB40" s="218" t="inlineStr">
        <is>
          <t>Venture Capital</t>
        </is>
      </c>
      <c r="CC40" s="219" t="inlineStr">
        <is>
          <t/>
        </is>
      </c>
      <c r="CD40" s="220" t="inlineStr">
        <is>
          <t/>
        </is>
      </c>
      <c r="CE40" s="221" t="inlineStr">
        <is>
          <t/>
        </is>
      </c>
      <c r="CF40" s="222" t="inlineStr">
        <is>
          <t>Upcoming</t>
        </is>
      </c>
      <c r="CG40" s="223" t="inlineStr">
        <is>
          <t>-2,33%</t>
        </is>
      </c>
      <c r="CH40" s="224" t="inlineStr">
        <is>
          <t>8</t>
        </is>
      </c>
      <c r="CI40" s="225" t="inlineStr">
        <is>
          <t>0,01%</t>
        </is>
      </c>
      <c r="CJ40" s="226" t="inlineStr">
        <is>
          <t>0,36%</t>
        </is>
      </c>
      <c r="CK40" s="227" t="inlineStr">
        <is>
          <t>-5,59%</t>
        </is>
      </c>
      <c r="CL40" s="228" t="inlineStr">
        <is>
          <t>7</t>
        </is>
      </c>
      <c r="CM40" s="229" t="inlineStr">
        <is>
          <t>0,93%</t>
        </is>
      </c>
      <c r="CN40" s="230" t="inlineStr">
        <is>
          <t>95</t>
        </is>
      </c>
      <c r="CO40" s="231" t="inlineStr">
        <is>
          <t>-11,17%</t>
        </is>
      </c>
      <c r="CP40" s="232" t="inlineStr">
        <is>
          <t>11</t>
        </is>
      </c>
      <c r="CQ40" s="233" t="inlineStr">
        <is>
          <t>0,00%</t>
        </is>
      </c>
      <c r="CR40" s="234" t="inlineStr">
        <is>
          <t>20</t>
        </is>
      </c>
      <c r="CS40" s="235" t="inlineStr">
        <is>
          <t>1,57%</t>
        </is>
      </c>
      <c r="CT40" s="236" t="inlineStr">
        <is>
          <t>97</t>
        </is>
      </c>
      <c r="CU40" s="237" t="inlineStr">
        <is>
          <t>0,30%</t>
        </is>
      </c>
      <c r="CV40" s="238" t="inlineStr">
        <is>
          <t>83</t>
        </is>
      </c>
      <c r="CW40" s="239" t="inlineStr">
        <is>
          <t>2,87x</t>
        </is>
      </c>
      <c r="CX40" s="240" t="inlineStr">
        <is>
          <t>71</t>
        </is>
      </c>
      <c r="CY40" s="241" t="inlineStr">
        <is>
          <t>-0,01x</t>
        </is>
      </c>
      <c r="CZ40" s="242" t="inlineStr">
        <is>
          <t>-0,42%</t>
        </is>
      </c>
      <c r="DA40" s="243" t="inlineStr">
        <is>
          <t>4,37x</t>
        </is>
      </c>
      <c r="DB40" s="244" t="inlineStr">
        <is>
          <t>79</t>
        </is>
      </c>
      <c r="DC40" s="245" t="inlineStr">
        <is>
          <t>1,37x</t>
        </is>
      </c>
      <c r="DD40" s="246" t="inlineStr">
        <is>
          <t>55</t>
        </is>
      </c>
      <c r="DE40" s="247" t="inlineStr">
        <is>
          <t>8,41x</t>
        </is>
      </c>
      <c r="DF40" s="248" t="inlineStr">
        <is>
          <t>86</t>
        </is>
      </c>
      <c r="DG40" s="249" t="inlineStr">
        <is>
          <t>0,33x</t>
        </is>
      </c>
      <c r="DH40" s="250" t="inlineStr">
        <is>
          <t>27</t>
        </is>
      </c>
      <c r="DI40" s="251" t="inlineStr">
        <is>
          <t>0,16x</t>
        </is>
      </c>
      <c r="DJ40" s="252" t="inlineStr">
        <is>
          <t>20</t>
        </is>
      </c>
      <c r="DK40" s="253" t="inlineStr">
        <is>
          <t>2,58x</t>
        </is>
      </c>
      <c r="DL40" s="254" t="inlineStr">
        <is>
          <t>68</t>
        </is>
      </c>
      <c r="DM40" s="255" t="inlineStr">
        <is>
          <t>3.157</t>
        </is>
      </c>
      <c r="DN40" s="256" t="inlineStr">
        <is>
          <t>-190</t>
        </is>
      </c>
      <c r="DO40" s="257" t="inlineStr">
        <is>
          <t>-5,68%</t>
        </is>
      </c>
      <c r="DP40" s="258" t="inlineStr">
        <is>
          <t>129</t>
        </is>
      </c>
      <c r="DQ40" s="259" t="inlineStr">
        <is>
          <t>2</t>
        </is>
      </c>
      <c r="DR40" s="260" t="inlineStr">
        <is>
          <t>1,57%</t>
        </is>
      </c>
      <c r="DS40" s="261" t="inlineStr">
        <is>
          <t>12</t>
        </is>
      </c>
      <c r="DT40" s="262" t="inlineStr">
        <is>
          <t>0</t>
        </is>
      </c>
      <c r="DU40" s="263" t="inlineStr">
        <is>
          <t>0,00%</t>
        </is>
      </c>
      <c r="DV40" s="264" t="inlineStr">
        <is>
          <t>970</t>
        </is>
      </c>
      <c r="DW40" s="265" t="inlineStr">
        <is>
          <t>-2</t>
        </is>
      </c>
      <c r="DX40" s="266" t="inlineStr">
        <is>
          <t>-0,21%</t>
        </is>
      </c>
      <c r="DY40" s="267" t="inlineStr">
        <is>
          <t>PitchBook Research</t>
        </is>
      </c>
      <c r="DZ40" s="786">
        <f>HYPERLINK("https://my.pitchbook.com?c=184180-69", "View company online")</f>
      </c>
    </row>
    <row r="41">
      <c r="A41" s="9" t="inlineStr">
        <is>
          <t>142787-89</t>
        </is>
      </c>
      <c r="B41" s="10" t="inlineStr">
        <is>
          <t>Charity Checkout</t>
        </is>
      </c>
      <c r="C41" s="11" t="inlineStr">
        <is>
          <t/>
        </is>
      </c>
      <c r="D41" s="12" t="inlineStr">
        <is>
          <t/>
        </is>
      </c>
      <c r="E41" s="13" t="inlineStr">
        <is>
          <t>142787-89</t>
        </is>
      </c>
      <c r="F41" s="14" t="inlineStr">
        <is>
          <t>Developer of an online fundraising platform designed to help social workers raise fund for social causes. The company's online fundraising tool accepts charities with both credit/ debit card and offers direct debit payment processing facilities, enabling social workers to raise fund and charities and accept donations.</t>
        </is>
      </c>
      <c r="G41" s="15" t="inlineStr">
        <is>
          <t>Information Technology</t>
        </is>
      </c>
      <c r="H41" s="16" t="inlineStr">
        <is>
          <t>Software</t>
        </is>
      </c>
      <c r="I41" s="17" t="inlineStr">
        <is>
          <t>Financial Software</t>
        </is>
      </c>
      <c r="J41" s="18" t="inlineStr">
        <is>
          <t>Financial Software*; Other Financial Services; Social/Platform Software</t>
        </is>
      </c>
      <c r="K41" s="19" t="inlineStr">
        <is>
          <t>FinTech</t>
        </is>
      </c>
      <c r="L41" s="20" t="inlineStr">
        <is>
          <t>Angel-Backed</t>
        </is>
      </c>
      <c r="M41" s="21" t="n">
        <v>0.94</v>
      </c>
      <c r="N41" s="22" t="inlineStr">
        <is>
          <t>Startup</t>
        </is>
      </c>
      <c r="O41" s="23" t="inlineStr">
        <is>
          <t>Privately Held (backing)</t>
        </is>
      </c>
      <c r="P41" s="24" t="inlineStr">
        <is>
          <t>Pre-venture</t>
        </is>
      </c>
      <c r="Q41" s="25" t="inlineStr">
        <is>
          <t>www.charitycheckout.co.uk</t>
        </is>
      </c>
      <c r="R41" s="26" t="inlineStr">
        <is>
          <t/>
        </is>
      </c>
      <c r="S41" s="27" t="inlineStr">
        <is>
          <t/>
        </is>
      </c>
      <c r="T41" s="28" t="inlineStr">
        <is>
          <t/>
        </is>
      </c>
      <c r="U41" s="29" t="n">
        <v>2009.0</v>
      </c>
      <c r="V41" s="30" t="inlineStr">
        <is>
          <t/>
        </is>
      </c>
      <c r="W41" s="31" t="inlineStr">
        <is>
          <t/>
        </is>
      </c>
      <c r="X41" s="32" t="inlineStr">
        <is>
          <t/>
        </is>
      </c>
      <c r="Y41" s="33" t="inlineStr">
        <is>
          <t/>
        </is>
      </c>
      <c r="Z41" s="34" t="inlineStr">
        <is>
          <t/>
        </is>
      </c>
      <c r="AA41" s="35" t="inlineStr">
        <is>
          <t/>
        </is>
      </c>
      <c r="AB41" s="36" t="inlineStr">
        <is>
          <t/>
        </is>
      </c>
      <c r="AC41" s="37" t="inlineStr">
        <is>
          <t/>
        </is>
      </c>
      <c r="AD41" s="38" t="inlineStr">
        <is>
          <t/>
        </is>
      </c>
      <c r="AE41" s="39" t="inlineStr">
        <is>
          <t>139146-94P</t>
        </is>
      </c>
      <c r="AF41" s="40" t="inlineStr">
        <is>
          <t>Chester Mojay-Sinclare</t>
        </is>
      </c>
      <c r="AG41" s="41" t="inlineStr">
        <is>
          <t>Founder &amp; Managing Director</t>
        </is>
      </c>
      <c r="AH41" s="42" t="inlineStr">
        <is>
          <t>chester@charitycheckout.co.uk</t>
        </is>
      </c>
      <c r="AI41" s="43" t="inlineStr">
        <is>
          <t/>
        </is>
      </c>
      <c r="AJ41" s="44" t="inlineStr">
        <is>
          <t>Stevenage, United Kingdom</t>
        </is>
      </c>
      <c r="AK41" s="45" t="inlineStr">
        <is>
          <t>Bessemer Drive</t>
        </is>
      </c>
      <c r="AL41" s="46" t="inlineStr">
        <is>
          <t/>
        </is>
      </c>
      <c r="AM41" s="47" t="inlineStr">
        <is>
          <t>Stevenage</t>
        </is>
      </c>
      <c r="AN41" s="48" t="inlineStr">
        <is>
          <t>England</t>
        </is>
      </c>
      <c r="AO41" s="49" t="inlineStr">
        <is>
          <t>SG1 2DX</t>
        </is>
      </c>
      <c r="AP41" s="50" t="inlineStr">
        <is>
          <t>United Kingdom</t>
        </is>
      </c>
      <c r="AQ41" s="51" t="inlineStr">
        <is>
          <t/>
        </is>
      </c>
      <c r="AR41" s="52" t="inlineStr">
        <is>
          <t/>
        </is>
      </c>
      <c r="AS41" s="53" t="inlineStr">
        <is>
          <t/>
        </is>
      </c>
      <c r="AT41" s="54" t="inlineStr">
        <is>
          <t>Europe</t>
        </is>
      </c>
      <c r="AU41" s="55" t="inlineStr">
        <is>
          <t>Western Europe</t>
        </is>
      </c>
      <c r="AV41" s="56" t="inlineStr">
        <is>
          <t>The company raised $1 million of angel funding in a deal led by Chris Hulatt and Simon Rogerson on October 18, 2017. Other undisclosed investors also participated in the round, The funds will be used to accelerate the company's growth and extend its services to national charities and corporates.</t>
        </is>
      </c>
      <c r="AW41" s="57" t="inlineStr">
        <is>
          <t>Chris Hulatt, Simon Rogerson</t>
        </is>
      </c>
      <c r="AX41" s="58" t="n">
        <v>2.0</v>
      </c>
      <c r="AY41" s="59" t="inlineStr">
        <is>
          <t/>
        </is>
      </c>
      <c r="AZ41" s="60" t="inlineStr">
        <is>
          <t/>
        </is>
      </c>
      <c r="BA41" s="61" t="inlineStr">
        <is>
          <t/>
        </is>
      </c>
      <c r="BB41" s="62" t="inlineStr">
        <is>
          <t/>
        </is>
      </c>
      <c r="BC41" s="63" t="inlineStr">
        <is>
          <t/>
        </is>
      </c>
      <c r="BD41" s="64" t="inlineStr">
        <is>
          <t/>
        </is>
      </c>
      <c r="BE41" s="65" t="inlineStr">
        <is>
          <t/>
        </is>
      </c>
      <c r="BF41" s="66" t="inlineStr">
        <is>
          <t>Angels Den (Lease Financing)</t>
        </is>
      </c>
      <c r="BG41" s="67" t="n">
        <v>41183.0</v>
      </c>
      <c r="BH41" s="68" t="n">
        <v>0.09</v>
      </c>
      <c r="BI41" s="69" t="inlineStr">
        <is>
          <t>Actual</t>
        </is>
      </c>
      <c r="BJ41" s="70" t="inlineStr">
        <is>
          <t/>
        </is>
      </c>
      <c r="BK41" s="71" t="inlineStr">
        <is>
          <t/>
        </is>
      </c>
      <c r="BL41" s="72" t="inlineStr">
        <is>
          <t>Angel (individual)</t>
        </is>
      </c>
      <c r="BM41" s="73" t="inlineStr">
        <is>
          <t>Angel</t>
        </is>
      </c>
      <c r="BN41" s="74" t="inlineStr">
        <is>
          <t/>
        </is>
      </c>
      <c r="BO41" s="75" t="inlineStr">
        <is>
          <t>Individual</t>
        </is>
      </c>
      <c r="BP41" s="76" t="inlineStr">
        <is>
          <t/>
        </is>
      </c>
      <c r="BQ41" s="77" t="inlineStr">
        <is>
          <t/>
        </is>
      </c>
      <c r="BR41" s="78" t="inlineStr">
        <is>
          <t/>
        </is>
      </c>
      <c r="BS41" s="79" t="inlineStr">
        <is>
          <t>Completed</t>
        </is>
      </c>
      <c r="BT41" s="80" t="n">
        <v>43026.0</v>
      </c>
      <c r="BU41" s="81" t="n">
        <v>0.85</v>
      </c>
      <c r="BV41" s="82" t="inlineStr">
        <is>
          <t>Actual</t>
        </is>
      </c>
      <c r="BW41" s="83" t="inlineStr">
        <is>
          <t/>
        </is>
      </c>
      <c r="BX41" s="84" t="inlineStr">
        <is>
          <t/>
        </is>
      </c>
      <c r="BY41" s="85" t="inlineStr">
        <is>
          <t>Angel (individual)</t>
        </is>
      </c>
      <c r="BZ41" s="86" t="inlineStr">
        <is>
          <t>Angel</t>
        </is>
      </c>
      <c r="CA41" s="87" t="inlineStr">
        <is>
          <t/>
        </is>
      </c>
      <c r="CB41" s="88" t="inlineStr">
        <is>
          <t>Individual</t>
        </is>
      </c>
      <c r="CC41" s="89" t="inlineStr">
        <is>
          <t/>
        </is>
      </c>
      <c r="CD41" s="90" t="inlineStr">
        <is>
          <t/>
        </is>
      </c>
      <c r="CE41" s="91" t="inlineStr">
        <is>
          <t/>
        </is>
      </c>
      <c r="CF41" s="92" t="inlineStr">
        <is>
          <t>Completed</t>
        </is>
      </c>
      <c r="CG41" s="93" t="inlineStr">
        <is>
          <t>-0,55%</t>
        </is>
      </c>
      <c r="CH41" s="94" t="inlineStr">
        <is>
          <t>18</t>
        </is>
      </c>
      <c r="CI41" s="95" t="inlineStr">
        <is>
          <t>0,06%</t>
        </is>
      </c>
      <c r="CJ41" s="96" t="inlineStr">
        <is>
          <t>9,22%</t>
        </is>
      </c>
      <c r="CK41" s="97" t="inlineStr">
        <is>
          <t>-1,11%</t>
        </is>
      </c>
      <c r="CL41" s="98" t="inlineStr">
        <is>
          <t>19</t>
        </is>
      </c>
      <c r="CM41" s="99" t="inlineStr">
        <is>
          <t>0,00%</t>
        </is>
      </c>
      <c r="CN41" s="100" t="inlineStr">
        <is>
          <t>20</t>
        </is>
      </c>
      <c r="CO41" s="101" t="inlineStr">
        <is>
          <t>-1,62%</t>
        </is>
      </c>
      <c r="CP41" s="102" t="inlineStr">
        <is>
          <t>31</t>
        </is>
      </c>
      <c r="CQ41" s="103" t="inlineStr">
        <is>
          <t>-0,60%</t>
        </is>
      </c>
      <c r="CR41" s="104" t="inlineStr">
        <is>
          <t>14</t>
        </is>
      </c>
      <c r="CS41" s="105" t="inlineStr">
        <is>
          <t>0,00%</t>
        </is>
      </c>
      <c r="CT41" s="106" t="inlineStr">
        <is>
          <t>18</t>
        </is>
      </c>
      <c r="CU41" s="107" t="inlineStr">
        <is>
          <t>0,00%</t>
        </is>
      </c>
      <c r="CV41" s="108" t="inlineStr">
        <is>
          <t>21</t>
        </is>
      </c>
      <c r="CW41" s="109" t="inlineStr">
        <is>
          <t>10,45x</t>
        </is>
      </c>
      <c r="CX41" s="110" t="inlineStr">
        <is>
          <t>88</t>
        </is>
      </c>
      <c r="CY41" s="111" t="inlineStr">
        <is>
          <t>-0,11x</t>
        </is>
      </c>
      <c r="CZ41" s="112" t="inlineStr">
        <is>
          <t>-1,01%</t>
        </is>
      </c>
      <c r="DA41" s="113" t="inlineStr">
        <is>
          <t>12,90x</t>
        </is>
      </c>
      <c r="DB41" s="114" t="inlineStr">
        <is>
          <t>91</t>
        </is>
      </c>
      <c r="DC41" s="115" t="inlineStr">
        <is>
          <t>8,00x</t>
        </is>
      </c>
      <c r="DD41" s="116" t="inlineStr">
        <is>
          <t>82</t>
        </is>
      </c>
      <c r="DE41" s="117" t="inlineStr">
        <is>
          <t>7,30x</t>
        </is>
      </c>
      <c r="DF41" s="118" t="inlineStr">
        <is>
          <t>85</t>
        </is>
      </c>
      <c r="DG41" s="119" t="inlineStr">
        <is>
          <t>18,50x</t>
        </is>
      </c>
      <c r="DH41" s="120" t="inlineStr">
        <is>
          <t>93</t>
        </is>
      </c>
      <c r="DI41" s="121" t="inlineStr">
        <is>
          <t>1,36x</t>
        </is>
      </c>
      <c r="DJ41" s="122" t="inlineStr">
        <is>
          <t>56</t>
        </is>
      </c>
      <c r="DK41" s="123" t="inlineStr">
        <is>
          <t>14,64x</t>
        </is>
      </c>
      <c r="DL41" s="124" t="inlineStr">
        <is>
          <t>90</t>
        </is>
      </c>
      <c r="DM41" s="125" t="inlineStr">
        <is>
          <t>2.674</t>
        </is>
      </c>
      <c r="DN41" s="126" t="inlineStr">
        <is>
          <t>101</t>
        </is>
      </c>
      <c r="DO41" s="127" t="inlineStr">
        <is>
          <t>3,93%</t>
        </is>
      </c>
      <c r="DP41" s="128" t="inlineStr">
        <is>
          <t>1.079</t>
        </is>
      </c>
      <c r="DQ41" s="129" t="inlineStr">
        <is>
          <t>0</t>
        </is>
      </c>
      <c r="DR41" s="130" t="inlineStr">
        <is>
          <t>0,00%</t>
        </is>
      </c>
      <c r="DS41" s="131" t="inlineStr">
        <is>
          <t>669</t>
        </is>
      </c>
      <c r="DT41" s="132" t="inlineStr">
        <is>
          <t>-7</t>
        </is>
      </c>
      <c r="DU41" s="133" t="inlineStr">
        <is>
          <t>-1,04%</t>
        </is>
      </c>
      <c r="DV41" s="134" t="inlineStr">
        <is>
          <t>5.475</t>
        </is>
      </c>
      <c r="DW41" s="135" t="inlineStr">
        <is>
          <t>-2</t>
        </is>
      </c>
      <c r="DX41" s="136" t="inlineStr">
        <is>
          <t>-0,04%</t>
        </is>
      </c>
      <c r="DY41" s="137" t="inlineStr">
        <is>
          <t>PitchBook Research</t>
        </is>
      </c>
      <c r="DZ41" s="785">
        <f>HYPERLINK("https://my.pitchbook.com?c=142787-89", "View company online")</f>
      </c>
    </row>
    <row r="42">
      <c r="A42" s="139" t="inlineStr">
        <is>
          <t>167439-97</t>
        </is>
      </c>
      <c r="B42" s="140" t="inlineStr">
        <is>
          <t>Libryo</t>
        </is>
      </c>
      <c r="C42" s="141" t="inlineStr">
        <is>
          <t/>
        </is>
      </c>
      <c r="D42" s="142" t="inlineStr">
        <is>
          <t/>
        </is>
      </c>
      <c r="E42" s="143" t="inlineStr">
        <is>
          <t>167439-97</t>
        </is>
      </c>
      <c r="F42" s="144" t="inlineStr">
        <is>
          <t>Provider of a legal software platform designed to alleviate legal research work. The company's legal software platform is designed for compliance professionals and in-house lawyers to answer legal questions immediately and accurately in an automated, efficient and cost effective manner, enabling businesses to understand the organization's legal obligations, in any situation and increase employee legal knowledge and safety.</t>
        </is>
      </c>
      <c r="G42" s="145" t="inlineStr">
        <is>
          <t>Information Technology</t>
        </is>
      </c>
      <c r="H42" s="146" t="inlineStr">
        <is>
          <t>Software</t>
        </is>
      </c>
      <c r="I42" s="147" t="inlineStr">
        <is>
          <t>Application Software</t>
        </is>
      </c>
      <c r="J42" s="148" t="inlineStr">
        <is>
          <t>Application Software*; Legal Services (B2B); Business/Productivity Software</t>
        </is>
      </c>
      <c r="K42" s="149" t="inlineStr">
        <is>
          <t>SaaS</t>
        </is>
      </c>
      <c r="L42" s="150" t="inlineStr">
        <is>
          <t>Accelerator/Incubator Backed</t>
        </is>
      </c>
      <c r="M42" s="151" t="n">
        <v>0.94</v>
      </c>
      <c r="N42" s="152" t="inlineStr">
        <is>
          <t>Generating Revenue</t>
        </is>
      </c>
      <c r="O42" s="153" t="inlineStr">
        <is>
          <t>Privately Held (backing)</t>
        </is>
      </c>
      <c r="P42" s="154" t="inlineStr">
        <is>
          <t>Venture Capital</t>
        </is>
      </c>
      <c r="Q42" s="155" t="inlineStr">
        <is>
          <t>www.libryo.com</t>
        </is>
      </c>
      <c r="R42" s="156" t="n">
        <v>3.0</v>
      </c>
      <c r="S42" s="157" t="inlineStr">
        <is>
          <t/>
        </is>
      </c>
      <c r="T42" s="158" t="inlineStr">
        <is>
          <t/>
        </is>
      </c>
      <c r="U42" s="159" t="n">
        <v>2015.0</v>
      </c>
      <c r="V42" s="160" t="inlineStr">
        <is>
          <t/>
        </is>
      </c>
      <c r="W42" s="161" t="inlineStr">
        <is>
          <t/>
        </is>
      </c>
      <c r="X42" s="162" t="inlineStr">
        <is>
          <t/>
        </is>
      </c>
      <c r="Y42" s="163" t="n">
        <v>0.21131</v>
      </c>
      <c r="Z42" s="164" t="inlineStr">
        <is>
          <t/>
        </is>
      </c>
      <c r="AA42" s="165" t="inlineStr">
        <is>
          <t/>
        </is>
      </c>
      <c r="AB42" s="166" t="inlineStr">
        <is>
          <t/>
        </is>
      </c>
      <c r="AC42" s="167" t="inlineStr">
        <is>
          <t/>
        </is>
      </c>
      <c r="AD42" s="168" t="inlineStr">
        <is>
          <t>FY 2015</t>
        </is>
      </c>
      <c r="AE42" s="169" t="inlineStr">
        <is>
          <t>148324-87P</t>
        </is>
      </c>
      <c r="AF42" s="170" t="inlineStr">
        <is>
          <t>Peter Flynn</t>
        </is>
      </c>
      <c r="AG42" s="171" t="inlineStr">
        <is>
          <t>Co-Founder &amp; Chief Executive Officer</t>
        </is>
      </c>
      <c r="AH42" s="172" t="inlineStr">
        <is>
          <t>peter@libryo.com</t>
        </is>
      </c>
      <c r="AI42" s="173" t="inlineStr">
        <is>
          <t>+44 (0)20 3150 1720</t>
        </is>
      </c>
      <c r="AJ42" s="174" t="inlineStr">
        <is>
          <t>London, United Kingdom</t>
        </is>
      </c>
      <c r="AK42" s="175" t="inlineStr">
        <is>
          <t>4-5 Bonhill Street</t>
        </is>
      </c>
      <c r="AL42" s="176" t="inlineStr">
        <is>
          <t/>
        </is>
      </c>
      <c r="AM42" s="177" t="inlineStr">
        <is>
          <t>London</t>
        </is>
      </c>
      <c r="AN42" s="178" t="inlineStr">
        <is>
          <t>England</t>
        </is>
      </c>
      <c r="AO42" s="179" t="inlineStr">
        <is>
          <t>EC2A 4BX</t>
        </is>
      </c>
      <c r="AP42" s="180" t="inlineStr">
        <is>
          <t>United Kingdom</t>
        </is>
      </c>
      <c r="AQ42" s="181" t="inlineStr">
        <is>
          <t>+44 (0)20 3150 1720</t>
        </is>
      </c>
      <c r="AR42" s="182" t="inlineStr">
        <is>
          <t/>
        </is>
      </c>
      <c r="AS42" s="183" t="inlineStr">
        <is>
          <t/>
        </is>
      </c>
      <c r="AT42" s="184" t="inlineStr">
        <is>
          <t>Europe</t>
        </is>
      </c>
      <c r="AU42" s="185" t="inlineStr">
        <is>
          <t>Western Europe</t>
        </is>
      </c>
      <c r="AV42" s="186" t="inlineStr">
        <is>
          <t>The company raised $1 million of seed funding from NextLaw Labs, Seedcamp and Force Over Mass Capital on September 28, 2017. Innogy Innovation Hub, Chris Field and Steve Gledden and other undisclosed angel investors also participated in the round. The funds will be used to invest further in product development, expand its team and business further across four continents - Africa, Europe, North America and Australia - in the next 18-24 months.</t>
        </is>
      </c>
      <c r="AW42" s="187" t="inlineStr">
        <is>
          <t>Christopher Field, Force Over Mass Capital, Innogy Innovation Hub, NextLaw Labs, Seedcamp, Steve Gledden</t>
        </is>
      </c>
      <c r="AX42" s="188" t="n">
        <v>6.0</v>
      </c>
      <c r="AY42" s="189" t="inlineStr">
        <is>
          <t/>
        </is>
      </c>
      <c r="AZ42" s="190" t="inlineStr">
        <is>
          <t/>
        </is>
      </c>
      <c r="BA42" s="191" t="inlineStr">
        <is>
          <t/>
        </is>
      </c>
      <c r="BB42" s="192" t="inlineStr">
        <is>
          <t>Force Over Mass Capital (www.fomcap.com), Innogy Innovation Hub (innovationhub.innogy.com), NextLaw Labs (www.nextlawlabs.com), Seedcamp (www.seedcamp.com)</t>
        </is>
      </c>
      <c r="BC42" s="193" t="inlineStr">
        <is>
          <t/>
        </is>
      </c>
      <c r="BD42" s="194" t="inlineStr">
        <is>
          <t/>
        </is>
      </c>
      <c r="BE42" s="195" t="inlineStr">
        <is>
          <t/>
        </is>
      </c>
      <c r="BF42" s="196" t="inlineStr">
        <is>
          <t/>
        </is>
      </c>
      <c r="BG42" s="197" t="n">
        <v>42660.0</v>
      </c>
      <c r="BH42" s="198" t="n">
        <v>0.1</v>
      </c>
      <c r="BI42" s="199" t="inlineStr">
        <is>
          <t>Actual</t>
        </is>
      </c>
      <c r="BJ42" s="200" t="n">
        <v>1.11</v>
      </c>
      <c r="BK42" s="201" t="inlineStr">
        <is>
          <t>Actual</t>
        </is>
      </c>
      <c r="BL42" s="202" t="inlineStr">
        <is>
          <t>Accelerator/Incubator</t>
        </is>
      </c>
      <c r="BM42" s="203" t="inlineStr">
        <is>
          <t/>
        </is>
      </c>
      <c r="BN42" s="204" t="inlineStr">
        <is>
          <t/>
        </is>
      </c>
      <c r="BO42" s="205" t="inlineStr">
        <is>
          <t>Other</t>
        </is>
      </c>
      <c r="BP42" s="206" t="inlineStr">
        <is>
          <t/>
        </is>
      </c>
      <c r="BQ42" s="207" t="inlineStr">
        <is>
          <t/>
        </is>
      </c>
      <c r="BR42" s="208" t="inlineStr">
        <is>
          <t/>
        </is>
      </c>
      <c r="BS42" s="209" t="inlineStr">
        <is>
          <t>Completed</t>
        </is>
      </c>
      <c r="BT42" s="210" t="n">
        <v>43006.0</v>
      </c>
      <c r="BU42" s="211" t="n">
        <v>0.84</v>
      </c>
      <c r="BV42" s="212" t="inlineStr">
        <is>
          <t>Actual</t>
        </is>
      </c>
      <c r="BW42" s="213" t="inlineStr">
        <is>
          <t/>
        </is>
      </c>
      <c r="BX42" s="214" t="inlineStr">
        <is>
          <t/>
        </is>
      </c>
      <c r="BY42" s="215" t="inlineStr">
        <is>
          <t>Seed Round</t>
        </is>
      </c>
      <c r="BZ42" s="216" t="inlineStr">
        <is>
          <t>Seed</t>
        </is>
      </c>
      <c r="CA42" s="217" t="inlineStr">
        <is>
          <t/>
        </is>
      </c>
      <c r="CB42" s="218" t="inlineStr">
        <is>
          <t>Other</t>
        </is>
      </c>
      <c r="CC42" s="219" t="inlineStr">
        <is>
          <t/>
        </is>
      </c>
      <c r="CD42" s="220" t="inlineStr">
        <is>
          <t/>
        </is>
      </c>
      <c r="CE42" s="221" t="inlineStr">
        <is>
          <t/>
        </is>
      </c>
      <c r="CF42" s="222" t="inlineStr">
        <is>
          <t>Completed</t>
        </is>
      </c>
      <c r="CG42" s="223" t="inlineStr">
        <is>
          <t>1,69%</t>
        </is>
      </c>
      <c r="CH42" s="224" t="inlineStr">
        <is>
          <t>97</t>
        </is>
      </c>
      <c r="CI42" s="225" t="inlineStr">
        <is>
          <t>-0,03%</t>
        </is>
      </c>
      <c r="CJ42" s="226" t="inlineStr">
        <is>
          <t>-1,62%</t>
        </is>
      </c>
      <c r="CK42" s="227" t="inlineStr">
        <is>
          <t>0,00%</t>
        </is>
      </c>
      <c r="CL42" s="228" t="inlineStr">
        <is>
          <t>28</t>
        </is>
      </c>
      <c r="CM42" s="229" t="inlineStr">
        <is>
          <t>3,38%</t>
        </is>
      </c>
      <c r="CN42" s="230" t="inlineStr">
        <is>
          <t>100</t>
        </is>
      </c>
      <c r="CO42" s="231" t="inlineStr">
        <is>
          <t>0,00%</t>
        </is>
      </c>
      <c r="CP42" s="232" t="inlineStr">
        <is>
          <t>37</t>
        </is>
      </c>
      <c r="CQ42" s="233" t="inlineStr">
        <is>
          <t>0,00%</t>
        </is>
      </c>
      <c r="CR42" s="234" t="inlineStr">
        <is>
          <t>20</t>
        </is>
      </c>
      <c r="CS42" s="235" t="inlineStr">
        <is>
          <t/>
        </is>
      </c>
      <c r="CT42" s="236" t="inlineStr">
        <is>
          <t/>
        </is>
      </c>
      <c r="CU42" s="237" t="inlineStr">
        <is>
          <t>3,38%</t>
        </is>
      </c>
      <c r="CV42" s="238" t="inlineStr">
        <is>
          <t>100</t>
        </is>
      </c>
      <c r="CW42" s="239" t="inlineStr">
        <is>
          <t>0,52x</t>
        </is>
      </c>
      <c r="CX42" s="240" t="inlineStr">
        <is>
          <t>34</t>
        </is>
      </c>
      <c r="CY42" s="241" t="inlineStr">
        <is>
          <t>0,01x</t>
        </is>
      </c>
      <c r="CZ42" s="242" t="inlineStr">
        <is>
          <t>1,36%</t>
        </is>
      </c>
      <c r="DA42" s="243" t="inlineStr">
        <is>
          <t>0,28x</t>
        </is>
      </c>
      <c r="DB42" s="244" t="inlineStr">
        <is>
          <t>23</t>
        </is>
      </c>
      <c r="DC42" s="245" t="inlineStr">
        <is>
          <t>0,75x</t>
        </is>
      </c>
      <c r="DD42" s="246" t="inlineStr">
        <is>
          <t>43</t>
        </is>
      </c>
      <c r="DE42" s="247" t="inlineStr">
        <is>
          <t>0,17x</t>
        </is>
      </c>
      <c r="DF42" s="248" t="inlineStr">
        <is>
          <t>9</t>
        </is>
      </c>
      <c r="DG42" s="249" t="inlineStr">
        <is>
          <t>0,39x</t>
        </is>
      </c>
      <c r="DH42" s="250" t="inlineStr">
        <is>
          <t>30</t>
        </is>
      </c>
      <c r="DI42" s="251" t="inlineStr">
        <is>
          <t/>
        </is>
      </c>
      <c r="DJ42" s="252" t="inlineStr">
        <is>
          <t/>
        </is>
      </c>
      <c r="DK42" s="253" t="inlineStr">
        <is>
          <t>0,75x</t>
        </is>
      </c>
      <c r="DL42" s="254" t="inlineStr">
        <is>
          <t>45</t>
        </is>
      </c>
      <c r="DM42" s="255" t="inlineStr">
        <is>
          <t>76</t>
        </is>
      </c>
      <c r="DN42" s="256" t="inlineStr">
        <is>
          <t>-30</t>
        </is>
      </c>
      <c r="DO42" s="257" t="inlineStr">
        <is>
          <t>-28,30%</t>
        </is>
      </c>
      <c r="DP42" s="258" t="inlineStr">
        <is>
          <t/>
        </is>
      </c>
      <c r="DQ42" s="259" t="inlineStr">
        <is>
          <t/>
        </is>
      </c>
      <c r="DR42" s="260" t="inlineStr">
        <is>
          <t/>
        </is>
      </c>
      <c r="DS42" s="261" t="inlineStr">
        <is>
          <t>13</t>
        </is>
      </c>
      <c r="DT42" s="262" t="inlineStr">
        <is>
          <t>0</t>
        </is>
      </c>
      <c r="DU42" s="263" t="inlineStr">
        <is>
          <t>0,00%</t>
        </is>
      </c>
      <c r="DV42" s="264" t="inlineStr">
        <is>
          <t>280</t>
        </is>
      </c>
      <c r="DW42" s="265" t="inlineStr">
        <is>
          <t>4</t>
        </is>
      </c>
      <c r="DX42" s="266" t="inlineStr">
        <is>
          <t>1,45%</t>
        </is>
      </c>
      <c r="DY42" s="267" t="inlineStr">
        <is>
          <t>PitchBook Research</t>
        </is>
      </c>
      <c r="DZ42" s="786">
        <f>HYPERLINK("https://my.pitchbook.com?c=167439-97", "View company online")</f>
      </c>
    </row>
    <row r="43">
      <c r="A43" s="9" t="inlineStr">
        <is>
          <t>170086-42</t>
        </is>
      </c>
      <c r="B43" s="10" t="inlineStr">
        <is>
          <t>Neosurance</t>
        </is>
      </c>
      <c r="C43" s="11" t="inlineStr">
        <is>
          <t/>
        </is>
      </c>
      <c r="D43" s="12" t="inlineStr">
        <is>
          <t/>
        </is>
      </c>
      <c r="E43" s="13" t="inlineStr">
        <is>
          <t>170086-42</t>
        </is>
      </c>
      <c r="F43" s="14" t="inlineStr">
        <is>
          <t>Developer of an online insurance platform designed to sell micro-insurance of limited duration. The company's online insurance platform contains an advanced machine learning engine based on proprietary algorithm which matches insurance coverage to customer needs in milliseconds, enabling insurance companies to sell micro-insurances and insurers to select the right insurance coverage plans.</t>
        </is>
      </c>
      <c r="G43" s="15" t="inlineStr">
        <is>
          <t>Information Technology</t>
        </is>
      </c>
      <c r="H43" s="16" t="inlineStr">
        <is>
          <t>Software</t>
        </is>
      </c>
      <c r="I43" s="17" t="inlineStr">
        <is>
          <t>Social/Platform Software</t>
        </is>
      </c>
      <c r="J43" s="18" t="inlineStr">
        <is>
          <t>Social/Platform Software*; Other Insurance; Business/Productivity Software</t>
        </is>
      </c>
      <c r="K43" s="19" t="inlineStr">
        <is>
          <t>Artificial Intelligence &amp; Machine Learning, Big Data, InsurTech</t>
        </is>
      </c>
      <c r="L43" s="20" t="inlineStr">
        <is>
          <t>Accelerator/Incubator Backed</t>
        </is>
      </c>
      <c r="M43" s="21" t="n">
        <v>0.94</v>
      </c>
      <c r="N43" s="22" t="inlineStr">
        <is>
          <t>Generating Revenue</t>
        </is>
      </c>
      <c r="O43" s="23" t="inlineStr">
        <is>
          <t>Privately Held (backing)</t>
        </is>
      </c>
      <c r="P43" s="24" t="inlineStr">
        <is>
          <t>Pre-venture, M&amp;A</t>
        </is>
      </c>
      <c r="Q43" s="25" t="inlineStr">
        <is>
          <t>www.neosurance.eu</t>
        </is>
      </c>
      <c r="R43" s="26" t="inlineStr">
        <is>
          <t/>
        </is>
      </c>
      <c r="S43" s="27" t="inlineStr">
        <is>
          <t/>
        </is>
      </c>
      <c r="T43" s="28" t="inlineStr">
        <is>
          <t/>
        </is>
      </c>
      <c r="U43" s="29" t="n">
        <v>2016.0</v>
      </c>
      <c r="V43" s="30" t="inlineStr">
        <is>
          <t/>
        </is>
      </c>
      <c r="W43" s="31" t="inlineStr">
        <is>
          <t/>
        </is>
      </c>
      <c r="X43" s="32" t="inlineStr">
        <is>
          <t/>
        </is>
      </c>
      <c r="Y43" s="33" t="inlineStr">
        <is>
          <t/>
        </is>
      </c>
      <c r="Z43" s="34" t="inlineStr">
        <is>
          <t/>
        </is>
      </c>
      <c r="AA43" s="35" t="inlineStr">
        <is>
          <t/>
        </is>
      </c>
      <c r="AB43" s="36" t="inlineStr">
        <is>
          <t/>
        </is>
      </c>
      <c r="AC43" s="37" t="inlineStr">
        <is>
          <t/>
        </is>
      </c>
      <c r="AD43" s="38" t="inlineStr">
        <is>
          <t/>
        </is>
      </c>
      <c r="AE43" s="39" t="inlineStr">
        <is>
          <t>155662-66P</t>
        </is>
      </c>
      <c r="AF43" s="40" t="inlineStr">
        <is>
          <t>Andrea Silvello</t>
        </is>
      </c>
      <c r="AG43" s="41" t="inlineStr">
        <is>
          <t>Co-Founder &amp; Chief Financial Officer</t>
        </is>
      </c>
      <c r="AH43" s="42" t="inlineStr">
        <is>
          <t>andrea.silvello@neosurance.eu</t>
        </is>
      </c>
      <c r="AI43" s="43" t="inlineStr">
        <is>
          <t/>
        </is>
      </c>
      <c r="AJ43" s="44" t="inlineStr">
        <is>
          <t>Milan, Italy</t>
        </is>
      </c>
      <c r="AK43" s="45" t="inlineStr">
        <is>
          <t>Via Pattari 2</t>
        </is>
      </c>
      <c r="AL43" s="46" t="inlineStr">
        <is>
          <t/>
        </is>
      </c>
      <c r="AM43" s="47" t="inlineStr">
        <is>
          <t>Milan</t>
        </is>
      </c>
      <c r="AN43" s="48" t="inlineStr">
        <is>
          <t/>
        </is>
      </c>
      <c r="AO43" s="49" t="inlineStr">
        <is>
          <t>20122</t>
        </is>
      </c>
      <c r="AP43" s="50" t="inlineStr">
        <is>
          <t>Italy</t>
        </is>
      </c>
      <c r="AQ43" s="51" t="inlineStr">
        <is>
          <t/>
        </is>
      </c>
      <c r="AR43" s="52" t="inlineStr">
        <is>
          <t/>
        </is>
      </c>
      <c r="AS43" s="53" t="inlineStr">
        <is>
          <t>info@neosurance.eu</t>
        </is>
      </c>
      <c r="AT43" s="54" t="inlineStr">
        <is>
          <t>Europe</t>
        </is>
      </c>
      <c r="AU43" s="55" t="inlineStr">
        <is>
          <t>Southern Europe</t>
        </is>
      </c>
      <c r="AV43" s="56" t="inlineStr">
        <is>
          <t>The company is planning to raise EUR 800,000 of angel funding from undisclosed investors on September 4, 2017. Previously, the company raised EUR 705,000 of seed funding from Pietro Menghi, Matteo Carbone and other undisclosed investors on September 4, 2017. Previously, the company joined Plug and Play Tech Center as a part of its Insurtech Batch 2 on March 21, 2017. Previously, the company raised EUR 230,000 of pre-seed funding from Pietro Menghi and Matteo Carbone on February 16, 2017. Previously, the company received EUR 50000 of grant funding from Horizon2020 on January 30, 2017. The company is being actively tracked by PitchBook.</t>
        </is>
      </c>
      <c r="AW43" s="57" t="inlineStr">
        <is>
          <t>Digital Tech International, Horizon 2020, Matteo Carbone, Neosperience, Pietro Menghi, Plug and Play Tech Center</t>
        </is>
      </c>
      <c r="AX43" s="58" t="n">
        <v>6.0</v>
      </c>
      <c r="AY43" s="59" t="inlineStr">
        <is>
          <t/>
        </is>
      </c>
      <c r="AZ43" s="60" t="inlineStr">
        <is>
          <t/>
        </is>
      </c>
      <c r="BA43" s="61" t="inlineStr">
        <is>
          <t/>
        </is>
      </c>
      <c r="BB43" s="62" t="inlineStr">
        <is>
          <t>Digital Tech International (www.digitaltech-international.com), Neosperience (www.neosperience.com), Plug and Play Tech Center (www.plugandplaytechcenter.com)</t>
        </is>
      </c>
      <c r="BC43" s="63" t="inlineStr">
        <is>
          <t/>
        </is>
      </c>
      <c r="BD43" s="64" t="inlineStr">
        <is>
          <t/>
        </is>
      </c>
      <c r="BE43" s="65" t="inlineStr">
        <is>
          <t/>
        </is>
      </c>
      <c r="BF43" s="66" t="inlineStr">
        <is>
          <t/>
        </is>
      </c>
      <c r="BG43" s="67" t="n">
        <v>42370.0</v>
      </c>
      <c r="BH43" s="68" t="inlineStr">
        <is>
          <t/>
        </is>
      </c>
      <c r="BI43" s="69" t="inlineStr">
        <is>
          <t/>
        </is>
      </c>
      <c r="BJ43" s="70" t="inlineStr">
        <is>
          <t/>
        </is>
      </c>
      <c r="BK43" s="71" t="inlineStr">
        <is>
          <t/>
        </is>
      </c>
      <c r="BL43" s="72" t="inlineStr">
        <is>
          <t>Joint Venture</t>
        </is>
      </c>
      <c r="BM43" s="73" t="inlineStr">
        <is>
          <t/>
        </is>
      </c>
      <c r="BN43" s="74" t="inlineStr">
        <is>
          <t/>
        </is>
      </c>
      <c r="BO43" s="75" t="inlineStr">
        <is>
          <t>Other</t>
        </is>
      </c>
      <c r="BP43" s="76" t="inlineStr">
        <is>
          <t/>
        </is>
      </c>
      <c r="BQ43" s="77" t="inlineStr">
        <is>
          <t/>
        </is>
      </c>
      <c r="BR43" s="78" t="inlineStr">
        <is>
          <t/>
        </is>
      </c>
      <c r="BS43" s="79" t="inlineStr">
        <is>
          <t>Completed</t>
        </is>
      </c>
      <c r="BT43" s="80" t="inlineStr">
        <is>
          <t/>
        </is>
      </c>
      <c r="BU43" s="81" t="n">
        <v>0.8</v>
      </c>
      <c r="BV43" s="82" t="inlineStr">
        <is>
          <t>Actual</t>
        </is>
      </c>
      <c r="BW43" s="83" t="inlineStr">
        <is>
          <t/>
        </is>
      </c>
      <c r="BX43" s="84" t="inlineStr">
        <is>
          <t/>
        </is>
      </c>
      <c r="BY43" s="85" t="inlineStr">
        <is>
          <t>Angel (individual)</t>
        </is>
      </c>
      <c r="BZ43" s="86" t="inlineStr">
        <is>
          <t>Angel</t>
        </is>
      </c>
      <c r="CA43" s="87" t="inlineStr">
        <is>
          <t/>
        </is>
      </c>
      <c r="CB43" s="88" t="inlineStr">
        <is>
          <t>Individual</t>
        </is>
      </c>
      <c r="CC43" s="89" t="inlineStr">
        <is>
          <t/>
        </is>
      </c>
      <c r="CD43" s="90" t="inlineStr">
        <is>
          <t/>
        </is>
      </c>
      <c r="CE43" s="91" t="inlineStr">
        <is>
          <t/>
        </is>
      </c>
      <c r="CF43" s="92" t="inlineStr">
        <is>
          <t>Upcoming</t>
        </is>
      </c>
      <c r="CG43" s="93" t="inlineStr">
        <is>
          <t>0,41%</t>
        </is>
      </c>
      <c r="CH43" s="94" t="inlineStr">
        <is>
          <t>91</t>
        </is>
      </c>
      <c r="CI43" s="95" t="inlineStr">
        <is>
          <t>-0,10%</t>
        </is>
      </c>
      <c r="CJ43" s="96" t="inlineStr">
        <is>
          <t>-19,56%</t>
        </is>
      </c>
      <c r="CK43" s="97" t="inlineStr">
        <is>
          <t>0,00%</t>
        </is>
      </c>
      <c r="CL43" s="98" t="inlineStr">
        <is>
          <t>28</t>
        </is>
      </c>
      <c r="CM43" s="99" t="inlineStr">
        <is>
          <t>0,83%</t>
        </is>
      </c>
      <c r="CN43" s="100" t="inlineStr">
        <is>
          <t>94</t>
        </is>
      </c>
      <c r="CO43" s="101" t="inlineStr">
        <is>
          <t>0,00%</t>
        </is>
      </c>
      <c r="CP43" s="102" t="inlineStr">
        <is>
          <t>37</t>
        </is>
      </c>
      <c r="CQ43" s="103" t="inlineStr">
        <is>
          <t>0,00%</t>
        </is>
      </c>
      <c r="CR43" s="104" t="inlineStr">
        <is>
          <t>20</t>
        </is>
      </c>
      <c r="CS43" s="105" t="inlineStr">
        <is>
          <t/>
        </is>
      </c>
      <c r="CT43" s="106" t="inlineStr">
        <is>
          <t/>
        </is>
      </c>
      <c r="CU43" s="107" t="inlineStr">
        <is>
          <t>0,83%</t>
        </is>
      </c>
      <c r="CV43" s="108" t="inlineStr">
        <is>
          <t>96</t>
        </is>
      </c>
      <c r="CW43" s="109" t="inlineStr">
        <is>
          <t>1,61x</t>
        </is>
      </c>
      <c r="CX43" s="110" t="inlineStr">
        <is>
          <t>60</t>
        </is>
      </c>
      <c r="CY43" s="111" t="inlineStr">
        <is>
          <t>-0,01x</t>
        </is>
      </c>
      <c r="CZ43" s="112" t="inlineStr">
        <is>
          <t>-0,47%</t>
        </is>
      </c>
      <c r="DA43" s="113" t="inlineStr">
        <is>
          <t>0,83x</t>
        </is>
      </c>
      <c r="DB43" s="114" t="inlineStr">
        <is>
          <t>46</t>
        </is>
      </c>
      <c r="DC43" s="115" t="inlineStr">
        <is>
          <t>2,40x</t>
        </is>
      </c>
      <c r="DD43" s="116" t="inlineStr">
        <is>
          <t>65</t>
        </is>
      </c>
      <c r="DE43" s="117" t="inlineStr">
        <is>
          <t>0,22x</t>
        </is>
      </c>
      <c r="DF43" s="118" t="inlineStr">
        <is>
          <t>15</t>
        </is>
      </c>
      <c r="DG43" s="119" t="inlineStr">
        <is>
          <t>1,44x</t>
        </is>
      </c>
      <c r="DH43" s="120" t="inlineStr">
        <is>
          <t>58</t>
        </is>
      </c>
      <c r="DI43" s="121" t="inlineStr">
        <is>
          <t/>
        </is>
      </c>
      <c r="DJ43" s="122" t="inlineStr">
        <is>
          <t/>
        </is>
      </c>
      <c r="DK43" s="123" t="inlineStr">
        <is>
          <t>2,40x</t>
        </is>
      </c>
      <c r="DL43" s="124" t="inlineStr">
        <is>
          <t>67</t>
        </is>
      </c>
      <c r="DM43" s="125" t="inlineStr">
        <is>
          <t>90</t>
        </is>
      </c>
      <c r="DN43" s="126" t="inlineStr">
        <is>
          <t>-20</t>
        </is>
      </c>
      <c r="DO43" s="127" t="inlineStr">
        <is>
          <t>-18,18%</t>
        </is>
      </c>
      <c r="DP43" s="128" t="inlineStr">
        <is>
          <t/>
        </is>
      </c>
      <c r="DQ43" s="129" t="inlineStr">
        <is>
          <t/>
        </is>
      </c>
      <c r="DR43" s="130" t="inlineStr">
        <is>
          <t/>
        </is>
      </c>
      <c r="DS43" s="131" t="inlineStr">
        <is>
          <t>52</t>
        </is>
      </c>
      <c r="DT43" s="132" t="inlineStr">
        <is>
          <t>1</t>
        </is>
      </c>
      <c r="DU43" s="133" t="inlineStr">
        <is>
          <t>1,96%</t>
        </is>
      </c>
      <c r="DV43" s="134" t="inlineStr">
        <is>
          <t>894</t>
        </is>
      </c>
      <c r="DW43" s="135" t="inlineStr">
        <is>
          <t>3</t>
        </is>
      </c>
      <c r="DX43" s="136" t="inlineStr">
        <is>
          <t>0,34%</t>
        </is>
      </c>
      <c r="DY43" s="137" t="inlineStr">
        <is>
          <t>PitchBook Research</t>
        </is>
      </c>
      <c r="DZ43" s="785">
        <f>HYPERLINK("https://my.pitchbook.com?c=170086-42", "View company online")</f>
      </c>
    </row>
    <row r="44">
      <c r="A44" s="139" t="inlineStr">
        <is>
          <t>183630-43</t>
        </is>
      </c>
      <c r="B44" s="140" t="inlineStr">
        <is>
          <t>Melobee</t>
        </is>
      </c>
      <c r="C44" s="141" t="inlineStr">
        <is>
          <t/>
        </is>
      </c>
      <c r="D44" s="142" t="inlineStr">
        <is>
          <t/>
        </is>
      </c>
      <c r="E44" s="143" t="inlineStr">
        <is>
          <t>183630-43</t>
        </is>
      </c>
      <c r="F44" s="144" t="inlineStr">
        <is>
          <t>Developer of a promotional platform designed to upload, share and stream music. The company's streaming platform acts as a promotional tool for artists to catapult their music and connect with their audience on an international scale.</t>
        </is>
      </c>
      <c r="G44" s="145" t="inlineStr">
        <is>
          <t>Information Technology</t>
        </is>
      </c>
      <c r="H44" s="146" t="inlineStr">
        <is>
          <t>Software</t>
        </is>
      </c>
      <c r="I44" s="147" t="inlineStr">
        <is>
          <t>Social/Platform Software</t>
        </is>
      </c>
      <c r="J44" s="148" t="inlineStr">
        <is>
          <t>Social/Platform Software*; Other Media</t>
        </is>
      </c>
      <c r="K44" s="149" t="inlineStr">
        <is>
          <t>AdTech, AudioTech, Mobile</t>
        </is>
      </c>
      <c r="L44" s="150" t="inlineStr">
        <is>
          <t>Angel-Backed</t>
        </is>
      </c>
      <c r="M44" s="151" t="n">
        <v>0.94</v>
      </c>
      <c r="N44" s="152" t="inlineStr">
        <is>
          <t>Product In Beta Test</t>
        </is>
      </c>
      <c r="O44" s="153" t="inlineStr">
        <is>
          <t>Privately Held (backing)</t>
        </is>
      </c>
      <c r="P44" s="154" t="inlineStr">
        <is>
          <t>Pre-venture</t>
        </is>
      </c>
      <c r="Q44" s="155" t="inlineStr">
        <is>
          <t>www.melobeemusic.com</t>
        </is>
      </c>
      <c r="R44" s="156" t="inlineStr">
        <is>
          <t/>
        </is>
      </c>
      <c r="S44" s="157" t="inlineStr">
        <is>
          <t/>
        </is>
      </c>
      <c r="T44" s="158" t="inlineStr">
        <is>
          <t/>
        </is>
      </c>
      <c r="U44" s="159" t="n">
        <v>2016.0</v>
      </c>
      <c r="V44" s="160" t="inlineStr">
        <is>
          <t/>
        </is>
      </c>
      <c r="W44" s="161" t="inlineStr">
        <is>
          <t/>
        </is>
      </c>
      <c r="X44" s="162" t="inlineStr">
        <is>
          <t/>
        </is>
      </c>
      <c r="Y44" s="163" t="inlineStr">
        <is>
          <t/>
        </is>
      </c>
      <c r="Z44" s="164" t="inlineStr">
        <is>
          <t/>
        </is>
      </c>
      <c r="AA44" s="165" t="inlineStr">
        <is>
          <t/>
        </is>
      </c>
      <c r="AB44" s="166" t="inlineStr">
        <is>
          <t/>
        </is>
      </c>
      <c r="AC44" s="167" t="inlineStr">
        <is>
          <t/>
        </is>
      </c>
      <c r="AD44" s="168" t="inlineStr">
        <is>
          <t/>
        </is>
      </c>
      <c r="AE44" s="169" t="inlineStr">
        <is>
          <t>171371-17P</t>
        </is>
      </c>
      <c r="AF44" s="170" t="inlineStr">
        <is>
          <t>Edward Cederlund</t>
        </is>
      </c>
      <c r="AG44" s="171" t="inlineStr">
        <is>
          <t>Chief Executive Officer</t>
        </is>
      </c>
      <c r="AH44" s="172" t="inlineStr">
        <is>
          <t>edward@melobeemusic.com</t>
        </is>
      </c>
      <c r="AI44" s="173" t="inlineStr">
        <is>
          <t/>
        </is>
      </c>
      <c r="AJ44" s="174" t="inlineStr">
        <is>
          <t>Stockholm, Sweden</t>
        </is>
      </c>
      <c r="AK44" s="175" t="inlineStr">
        <is>
          <t>Östermalmsgatan 87E, 4tr</t>
        </is>
      </c>
      <c r="AL44" s="176" t="inlineStr">
        <is>
          <t/>
        </is>
      </c>
      <c r="AM44" s="177" t="inlineStr">
        <is>
          <t>Stockholm</t>
        </is>
      </c>
      <c r="AN44" s="178" t="inlineStr">
        <is>
          <t/>
        </is>
      </c>
      <c r="AO44" s="179" t="inlineStr">
        <is>
          <t>114 59</t>
        </is>
      </c>
      <c r="AP44" s="180" t="inlineStr">
        <is>
          <t>Sweden</t>
        </is>
      </c>
      <c r="AQ44" s="181" t="inlineStr">
        <is>
          <t/>
        </is>
      </c>
      <c r="AR44" s="182" t="inlineStr">
        <is>
          <t/>
        </is>
      </c>
      <c r="AS44" s="183" t="inlineStr">
        <is>
          <t>hello@melobeemusic.com</t>
        </is>
      </c>
      <c r="AT44" s="184" t="inlineStr">
        <is>
          <t>Europe</t>
        </is>
      </c>
      <c r="AU44" s="185" t="inlineStr">
        <is>
          <t>Northern Europe</t>
        </is>
      </c>
      <c r="AV44" s="186" t="inlineStr">
        <is>
          <t>The company raised SEK 9 million of pre-seed funding from Andreas Carlsson, Greger Hagelin and other undisclosed investors on September 13, 2017. The company's Founder Mats Wahlström also participated in this round.</t>
        </is>
      </c>
      <c r="AW44" s="187" t="inlineStr">
        <is>
          <t>Andreas Carlsson, Greger Hagelin</t>
        </is>
      </c>
      <c r="AX44" s="188" t="n">
        <v>2.0</v>
      </c>
      <c r="AY44" s="189" t="inlineStr">
        <is>
          <t/>
        </is>
      </c>
      <c r="AZ44" s="190" t="inlineStr">
        <is>
          <t/>
        </is>
      </c>
      <c r="BA44" s="191" t="inlineStr">
        <is>
          <t/>
        </is>
      </c>
      <c r="BB44" s="192" t="inlineStr">
        <is>
          <t/>
        </is>
      </c>
      <c r="BC44" s="193" t="inlineStr">
        <is>
          <t/>
        </is>
      </c>
      <c r="BD44" s="194" t="inlineStr">
        <is>
          <t/>
        </is>
      </c>
      <c r="BE44" s="195" t="inlineStr">
        <is>
          <t/>
        </is>
      </c>
      <c r="BF44" s="196" t="inlineStr">
        <is>
          <t/>
        </is>
      </c>
      <c r="BG44" s="197" t="n">
        <v>42991.0</v>
      </c>
      <c r="BH44" s="198" t="n">
        <v>0.94</v>
      </c>
      <c r="BI44" s="199" t="inlineStr">
        <is>
          <t>Actual</t>
        </is>
      </c>
      <c r="BJ44" s="200" t="inlineStr">
        <is>
          <t/>
        </is>
      </c>
      <c r="BK44" s="201" t="inlineStr">
        <is>
          <t/>
        </is>
      </c>
      <c r="BL44" s="202" t="inlineStr">
        <is>
          <t>Angel (individual)</t>
        </is>
      </c>
      <c r="BM44" s="203" t="inlineStr">
        <is>
          <t>Angel</t>
        </is>
      </c>
      <c r="BN44" s="204" t="inlineStr">
        <is>
          <t/>
        </is>
      </c>
      <c r="BO44" s="205" t="inlineStr">
        <is>
          <t>Individual</t>
        </is>
      </c>
      <c r="BP44" s="206" t="inlineStr">
        <is>
          <t/>
        </is>
      </c>
      <c r="BQ44" s="207" t="inlineStr">
        <is>
          <t/>
        </is>
      </c>
      <c r="BR44" s="208" t="inlineStr">
        <is>
          <t/>
        </is>
      </c>
      <c r="BS44" s="209" t="inlineStr">
        <is>
          <t>Completed</t>
        </is>
      </c>
      <c r="BT44" s="210" t="n">
        <v>42991.0</v>
      </c>
      <c r="BU44" s="211" t="n">
        <v>0.94</v>
      </c>
      <c r="BV44" s="212" t="inlineStr">
        <is>
          <t>Actual</t>
        </is>
      </c>
      <c r="BW44" s="213" t="inlineStr">
        <is>
          <t/>
        </is>
      </c>
      <c r="BX44" s="214" t="inlineStr">
        <is>
          <t/>
        </is>
      </c>
      <c r="BY44" s="215" t="inlineStr">
        <is>
          <t>Angel (individual)</t>
        </is>
      </c>
      <c r="BZ44" s="216" t="inlineStr">
        <is>
          <t>Angel</t>
        </is>
      </c>
      <c r="CA44" s="217" t="inlineStr">
        <is>
          <t/>
        </is>
      </c>
      <c r="CB44" s="218" t="inlineStr">
        <is>
          <t>Individual</t>
        </is>
      </c>
      <c r="CC44" s="219" t="inlineStr">
        <is>
          <t/>
        </is>
      </c>
      <c r="CD44" s="220" t="inlineStr">
        <is>
          <t/>
        </is>
      </c>
      <c r="CE44" s="221" t="inlineStr">
        <is>
          <t/>
        </is>
      </c>
      <c r="CF44" s="222" t="inlineStr">
        <is>
          <t>Completed</t>
        </is>
      </c>
      <c r="CG44" s="223" t="inlineStr">
        <is>
          <t>1,59%</t>
        </is>
      </c>
      <c r="CH44" s="224" t="inlineStr">
        <is>
          <t>97</t>
        </is>
      </c>
      <c r="CI44" s="225" t="inlineStr">
        <is>
          <t>-1,56%</t>
        </is>
      </c>
      <c r="CJ44" s="226" t="inlineStr">
        <is>
          <t>-49,57%</t>
        </is>
      </c>
      <c r="CK44" s="227" t="inlineStr">
        <is>
          <t>0,00%</t>
        </is>
      </c>
      <c r="CL44" s="228" t="inlineStr">
        <is>
          <t>28</t>
        </is>
      </c>
      <c r="CM44" s="229" t="inlineStr">
        <is>
          <t>1,43%</t>
        </is>
      </c>
      <c r="CN44" s="230" t="inlineStr">
        <is>
          <t>98</t>
        </is>
      </c>
      <c r="CO44" s="231" t="inlineStr">
        <is>
          <t>0,00%</t>
        </is>
      </c>
      <c r="CP44" s="232" t="inlineStr">
        <is>
          <t>37</t>
        </is>
      </c>
      <c r="CQ44" s="233" t="inlineStr">
        <is>
          <t>0,00%</t>
        </is>
      </c>
      <c r="CR44" s="234" t="inlineStr">
        <is>
          <t>20</t>
        </is>
      </c>
      <c r="CS44" s="235" t="inlineStr">
        <is>
          <t>3,20%</t>
        </is>
      </c>
      <c r="CT44" s="236" t="inlineStr">
        <is>
          <t>99</t>
        </is>
      </c>
      <c r="CU44" s="237" t="inlineStr">
        <is>
          <t>-0,34%</t>
        </is>
      </c>
      <c r="CV44" s="238" t="inlineStr">
        <is>
          <t>2</t>
        </is>
      </c>
      <c r="CW44" s="239" t="inlineStr">
        <is>
          <t>1,11x</t>
        </is>
      </c>
      <c r="CX44" s="240" t="inlineStr">
        <is>
          <t>51</t>
        </is>
      </c>
      <c r="CY44" s="241" t="inlineStr">
        <is>
          <t>0,00x</t>
        </is>
      </c>
      <c r="CZ44" s="242" t="inlineStr">
        <is>
          <t>-0,18%</t>
        </is>
      </c>
      <c r="DA44" s="243" t="inlineStr">
        <is>
          <t>1,16x</t>
        </is>
      </c>
      <c r="DB44" s="244" t="inlineStr">
        <is>
          <t>55</t>
        </is>
      </c>
      <c r="DC44" s="245" t="inlineStr">
        <is>
          <t>2,04x</t>
        </is>
      </c>
      <c r="DD44" s="246" t="inlineStr">
        <is>
          <t>62</t>
        </is>
      </c>
      <c r="DE44" s="247" t="inlineStr">
        <is>
          <t>1,89x</t>
        </is>
      </c>
      <c r="DF44" s="248" t="inlineStr">
        <is>
          <t>65</t>
        </is>
      </c>
      <c r="DG44" s="249" t="inlineStr">
        <is>
          <t>0,42x</t>
        </is>
      </c>
      <c r="DH44" s="250" t="inlineStr">
        <is>
          <t>32</t>
        </is>
      </c>
      <c r="DI44" s="251" t="inlineStr">
        <is>
          <t>2,05x</t>
        </is>
      </c>
      <c r="DJ44" s="252" t="inlineStr">
        <is>
          <t>62</t>
        </is>
      </c>
      <c r="DK44" s="253" t="inlineStr">
        <is>
          <t>2,03x</t>
        </is>
      </c>
      <c r="DL44" s="254" t="inlineStr">
        <is>
          <t>64</t>
        </is>
      </c>
      <c r="DM44" s="255" t="inlineStr">
        <is>
          <t>682</t>
        </is>
      </c>
      <c r="DN44" s="256" t="inlineStr">
        <is>
          <t>101</t>
        </is>
      </c>
      <c r="DO44" s="257" t="inlineStr">
        <is>
          <t>17,38%</t>
        </is>
      </c>
      <c r="DP44" s="258" t="inlineStr">
        <is>
          <t>1.619</t>
        </is>
      </c>
      <c r="DQ44" s="259" t="inlineStr">
        <is>
          <t>7</t>
        </is>
      </c>
      <c r="DR44" s="260" t="inlineStr">
        <is>
          <t>0,43%</t>
        </is>
      </c>
      <c r="DS44" s="261" t="inlineStr">
        <is>
          <t>15</t>
        </is>
      </c>
      <c r="DT44" s="262" t="inlineStr">
        <is>
          <t>1</t>
        </is>
      </c>
      <c r="DU44" s="263" t="inlineStr">
        <is>
          <t>7,14%</t>
        </is>
      </c>
      <c r="DV44" s="264" t="inlineStr">
        <is>
          <t>763</t>
        </is>
      </c>
      <c r="DW44" s="265" t="inlineStr">
        <is>
          <t>-3</t>
        </is>
      </c>
      <c r="DX44" s="266" t="inlineStr">
        <is>
          <t>-0,39%</t>
        </is>
      </c>
      <c r="DY44" s="267" t="inlineStr">
        <is>
          <t>PitchBook Research</t>
        </is>
      </c>
      <c r="DZ44" s="786">
        <f>HYPERLINK("https://my.pitchbook.com?c=183630-43", "View company online")</f>
      </c>
    </row>
    <row r="45">
      <c r="A45" s="9" t="inlineStr">
        <is>
          <t>221734-00</t>
        </is>
      </c>
      <c r="B45" s="10" t="inlineStr">
        <is>
          <t>Finanzguru</t>
        </is>
      </c>
      <c r="C45" s="11" t="inlineStr">
        <is>
          <t/>
        </is>
      </c>
      <c r="D45" s="12" t="inlineStr">
        <is>
          <t/>
        </is>
      </c>
      <c r="E45" s="13" t="inlineStr">
        <is>
          <t>221734-00</t>
        </is>
      </c>
      <c r="F45" s="14" t="inlineStr">
        <is>
          <t>Operator of a financial assistant created to minimize the effort related to managing contracts and finances. The company's smart banking application serves as personal assistant to gain control over contracts and to improve the financial situation without effort. It offers digitisation and uses smart algorithms based on artificial intelligence to identify savings potential, thereby assisting customers in the optimisation of their finances, highly personalized recommendations and makes realizing saving potentials easier than ever before.</t>
        </is>
      </c>
      <c r="G45" s="15" t="inlineStr">
        <is>
          <t>Information Technology</t>
        </is>
      </c>
      <c r="H45" s="16" t="inlineStr">
        <is>
          <t>Software</t>
        </is>
      </c>
      <c r="I45" s="17" t="inlineStr">
        <is>
          <t>Financial Software</t>
        </is>
      </c>
      <c r="J45" s="18" t="inlineStr">
        <is>
          <t>Financial Software*</t>
        </is>
      </c>
      <c r="K45" s="19" t="inlineStr">
        <is>
          <t>Artificial Intelligence &amp; Machine Learning, FinTech, Internet of Things, Mobile</t>
        </is>
      </c>
      <c r="L45" s="20" t="inlineStr">
        <is>
          <t>Venture Capital-Backed</t>
        </is>
      </c>
      <c r="M45" s="21" t="n">
        <v>1.0</v>
      </c>
      <c r="N45" s="22" t="inlineStr">
        <is>
          <t>Generating Revenue</t>
        </is>
      </c>
      <c r="O45" s="23" t="inlineStr">
        <is>
          <t>Privately Held (backing)</t>
        </is>
      </c>
      <c r="P45" s="24" t="inlineStr">
        <is>
          <t>Venture Capital</t>
        </is>
      </c>
      <c r="Q45" s="25" t="inlineStr">
        <is>
          <t>finanzguru.de</t>
        </is>
      </c>
      <c r="R45" s="26" t="n">
        <v>10.0</v>
      </c>
      <c r="S45" s="27" t="inlineStr">
        <is>
          <t/>
        </is>
      </c>
      <c r="T45" s="28" t="inlineStr">
        <is>
          <t/>
        </is>
      </c>
      <c r="U45" s="29" t="n">
        <v>2015.0</v>
      </c>
      <c r="V45" s="30" t="inlineStr">
        <is>
          <t/>
        </is>
      </c>
      <c r="W45" s="31" t="inlineStr">
        <is>
          <t/>
        </is>
      </c>
      <c r="X45" s="32" t="inlineStr">
        <is>
          <t/>
        </is>
      </c>
      <c r="Y45" s="33" t="inlineStr">
        <is>
          <t/>
        </is>
      </c>
      <c r="Z45" s="34" t="inlineStr">
        <is>
          <t/>
        </is>
      </c>
      <c r="AA45" s="35" t="inlineStr">
        <is>
          <t/>
        </is>
      </c>
      <c r="AB45" s="36" t="inlineStr">
        <is>
          <t/>
        </is>
      </c>
      <c r="AC45" s="37" t="inlineStr">
        <is>
          <t/>
        </is>
      </c>
      <c r="AD45" s="38" t="inlineStr">
        <is>
          <t/>
        </is>
      </c>
      <c r="AE45" s="39" t="inlineStr">
        <is>
          <t>173296-45P</t>
        </is>
      </c>
      <c r="AF45" s="40" t="inlineStr">
        <is>
          <t>Alexander Michel</t>
        </is>
      </c>
      <c r="AG45" s="41" t="inlineStr">
        <is>
          <t>Co-Founder</t>
        </is>
      </c>
      <c r="AH45" s="42" t="inlineStr">
        <is>
          <t>alexander@finanzguru.de</t>
        </is>
      </c>
      <c r="AI45" s="43" t="inlineStr">
        <is>
          <t>+49 (0)69 3487 3459</t>
        </is>
      </c>
      <c r="AJ45" s="44" t="inlineStr">
        <is>
          <t>Frankfurt, Germany</t>
        </is>
      </c>
      <c r="AK45" s="45" t="inlineStr">
        <is>
          <t>C/o Deutsche Borse FinTech Hub</t>
        </is>
      </c>
      <c r="AL45" s="46" t="inlineStr">
        <is>
          <t>Sandweg 94 - House C</t>
        </is>
      </c>
      <c r="AM45" s="47" t="inlineStr">
        <is>
          <t>Frankfurt</t>
        </is>
      </c>
      <c r="AN45" s="48" t="inlineStr">
        <is>
          <t/>
        </is>
      </c>
      <c r="AO45" s="49" t="inlineStr">
        <is>
          <t>60316</t>
        </is>
      </c>
      <c r="AP45" s="50" t="inlineStr">
        <is>
          <t>Germany</t>
        </is>
      </c>
      <c r="AQ45" s="51" t="inlineStr">
        <is>
          <t>+49 (0)69 3487 3459</t>
        </is>
      </c>
      <c r="AR45" s="52" t="inlineStr">
        <is>
          <t/>
        </is>
      </c>
      <c r="AS45" s="53" t="inlineStr">
        <is>
          <t>dein@finanzguru.de</t>
        </is>
      </c>
      <c r="AT45" s="54" t="inlineStr">
        <is>
          <t>Europe</t>
        </is>
      </c>
      <c r="AU45" s="55" t="inlineStr">
        <is>
          <t>Western Europe</t>
        </is>
      </c>
      <c r="AV45" s="56" t="inlineStr">
        <is>
          <t>The company raised EUR 1 million of venture funding from Deutsche Bank on October 25, 2017.</t>
        </is>
      </c>
      <c r="AW45" s="57" t="inlineStr">
        <is>
          <t>Deutsche Bank</t>
        </is>
      </c>
      <c r="AX45" s="58" t="n">
        <v>1.0</v>
      </c>
      <c r="AY45" s="59" t="inlineStr">
        <is>
          <t/>
        </is>
      </c>
      <c r="AZ45" s="60" t="inlineStr">
        <is>
          <t/>
        </is>
      </c>
      <c r="BA45" s="61" t="inlineStr">
        <is>
          <t/>
        </is>
      </c>
      <c r="BB45" s="62" t="inlineStr">
        <is>
          <t>Deutsche Bank (www.db.com)</t>
        </is>
      </c>
      <c r="BC45" s="63" t="inlineStr">
        <is>
          <t/>
        </is>
      </c>
      <c r="BD45" s="64" t="inlineStr">
        <is>
          <t/>
        </is>
      </c>
      <c r="BE45" s="65" t="inlineStr">
        <is>
          <t/>
        </is>
      </c>
      <c r="BF45" s="66" t="inlineStr">
        <is>
          <t/>
        </is>
      </c>
      <c r="BG45" s="67" t="n">
        <v>42674.0</v>
      </c>
      <c r="BH45" s="68" t="n">
        <v>0.03</v>
      </c>
      <c r="BI45" s="69" t="inlineStr">
        <is>
          <t>Actual</t>
        </is>
      </c>
      <c r="BJ45" s="70" t="inlineStr">
        <is>
          <t/>
        </is>
      </c>
      <c r="BK45" s="71" t="inlineStr">
        <is>
          <t/>
        </is>
      </c>
      <c r="BL45" s="72" t="inlineStr">
        <is>
          <t>Grant</t>
        </is>
      </c>
      <c r="BM45" s="73" t="inlineStr">
        <is>
          <t/>
        </is>
      </c>
      <c r="BN45" s="74" t="inlineStr">
        <is>
          <t/>
        </is>
      </c>
      <c r="BO45" s="75" t="inlineStr">
        <is>
          <t>Other</t>
        </is>
      </c>
      <c r="BP45" s="76" t="inlineStr">
        <is>
          <t/>
        </is>
      </c>
      <c r="BQ45" s="77" t="inlineStr">
        <is>
          <t/>
        </is>
      </c>
      <c r="BR45" s="78" t="inlineStr">
        <is>
          <t/>
        </is>
      </c>
      <c r="BS45" s="79" t="inlineStr">
        <is>
          <t>Completed</t>
        </is>
      </c>
      <c r="BT45" s="80" t="n">
        <v>43032.0</v>
      </c>
      <c r="BU45" s="81" t="n">
        <v>1.0</v>
      </c>
      <c r="BV45" s="82" t="inlineStr">
        <is>
          <t>Actual</t>
        </is>
      </c>
      <c r="BW45" s="83" t="inlineStr">
        <is>
          <t/>
        </is>
      </c>
      <c r="BX45" s="84" t="inlineStr">
        <is>
          <t/>
        </is>
      </c>
      <c r="BY45" s="85" t="inlineStr">
        <is>
          <t>Early Stage VC</t>
        </is>
      </c>
      <c r="BZ45" s="86" t="inlineStr">
        <is>
          <t/>
        </is>
      </c>
      <c r="CA45" s="87" t="inlineStr">
        <is>
          <t/>
        </is>
      </c>
      <c r="CB45" s="88" t="inlineStr">
        <is>
          <t>Venture Capital</t>
        </is>
      </c>
      <c r="CC45" s="89" t="inlineStr">
        <is>
          <t/>
        </is>
      </c>
      <c r="CD45" s="90" t="inlineStr">
        <is>
          <t/>
        </is>
      </c>
      <c r="CE45" s="91" t="inlineStr">
        <is>
          <t/>
        </is>
      </c>
      <c r="CF45" s="92" t="inlineStr">
        <is>
          <t>Completed</t>
        </is>
      </c>
      <c r="CG45" s="93" t="inlineStr">
        <is>
          <t>0,49%</t>
        </is>
      </c>
      <c r="CH45" s="94" t="inlineStr">
        <is>
          <t>92</t>
        </is>
      </c>
      <c r="CI45" s="95" t="inlineStr">
        <is>
          <t/>
        </is>
      </c>
      <c r="CJ45" s="96" t="inlineStr">
        <is>
          <t/>
        </is>
      </c>
      <c r="CK45" s="97" t="inlineStr">
        <is>
          <t/>
        </is>
      </c>
      <c r="CL45" s="98" t="inlineStr">
        <is>
          <t/>
        </is>
      </c>
      <c r="CM45" s="99" t="inlineStr">
        <is>
          <t>0,49%</t>
        </is>
      </c>
      <c r="CN45" s="100" t="inlineStr">
        <is>
          <t>88</t>
        </is>
      </c>
      <c r="CO45" s="101" t="inlineStr">
        <is>
          <t/>
        </is>
      </c>
      <c r="CP45" s="102" t="inlineStr">
        <is>
          <t/>
        </is>
      </c>
      <c r="CQ45" s="103" t="inlineStr">
        <is>
          <t/>
        </is>
      </c>
      <c r="CR45" s="104" t="inlineStr">
        <is>
          <t/>
        </is>
      </c>
      <c r="CS45" s="105" t="inlineStr">
        <is>
          <t>0,98%</t>
        </is>
      </c>
      <c r="CT45" s="106" t="inlineStr">
        <is>
          <t>94</t>
        </is>
      </c>
      <c r="CU45" s="107" t="inlineStr">
        <is>
          <t>0,00%</t>
        </is>
      </c>
      <c r="CV45" s="108" t="inlineStr">
        <is>
          <t>21</t>
        </is>
      </c>
      <c r="CW45" s="109" t="inlineStr">
        <is>
          <t>0,32x</t>
        </is>
      </c>
      <c r="CX45" s="110" t="inlineStr">
        <is>
          <t>24</t>
        </is>
      </c>
      <c r="CY45" s="111" t="inlineStr">
        <is>
          <t/>
        </is>
      </c>
      <c r="CZ45" s="112" t="inlineStr">
        <is>
          <t/>
        </is>
      </c>
      <c r="DA45" s="113" t="inlineStr">
        <is>
          <t/>
        </is>
      </c>
      <c r="DB45" s="114" t="inlineStr">
        <is>
          <t/>
        </is>
      </c>
      <c r="DC45" s="115" t="inlineStr">
        <is>
          <t>0,32x</t>
        </is>
      </c>
      <c r="DD45" s="116" t="inlineStr">
        <is>
          <t>28</t>
        </is>
      </c>
      <c r="DE45" s="117" t="inlineStr">
        <is>
          <t/>
        </is>
      </c>
      <c r="DF45" s="118" t="inlineStr">
        <is>
          <t/>
        </is>
      </c>
      <c r="DG45" s="119" t="inlineStr">
        <is>
          <t/>
        </is>
      </c>
      <c r="DH45" s="120" t="inlineStr">
        <is>
          <t/>
        </is>
      </c>
      <c r="DI45" s="121" t="inlineStr">
        <is>
          <t>0,46x</t>
        </is>
      </c>
      <c r="DJ45" s="122" t="inlineStr">
        <is>
          <t>37</t>
        </is>
      </c>
      <c r="DK45" s="123" t="inlineStr">
        <is>
          <t>0,18x</t>
        </is>
      </c>
      <c r="DL45" s="124" t="inlineStr">
        <is>
          <t>23</t>
        </is>
      </c>
      <c r="DM45" s="125" t="inlineStr">
        <is>
          <t/>
        </is>
      </c>
      <c r="DN45" s="126" t="inlineStr">
        <is>
          <t/>
        </is>
      </c>
      <c r="DO45" s="127" t="inlineStr">
        <is>
          <t/>
        </is>
      </c>
      <c r="DP45" s="128" t="inlineStr">
        <is>
          <t>366</t>
        </is>
      </c>
      <c r="DQ45" s="129" t="inlineStr">
        <is>
          <t>3</t>
        </is>
      </c>
      <c r="DR45" s="130" t="inlineStr">
        <is>
          <t>0,83%</t>
        </is>
      </c>
      <c r="DS45" s="131" t="inlineStr">
        <is>
          <t>2</t>
        </is>
      </c>
      <c r="DT45" s="132" t="inlineStr">
        <is>
          <t>0</t>
        </is>
      </c>
      <c r="DU45" s="133" t="inlineStr">
        <is>
          <t>0,00%</t>
        </is>
      </c>
      <c r="DV45" s="134" t="inlineStr">
        <is>
          <t>68</t>
        </is>
      </c>
      <c r="DW45" s="135" t="inlineStr">
        <is>
          <t>1</t>
        </is>
      </c>
      <c r="DX45" s="136" t="inlineStr">
        <is>
          <t>1,49%</t>
        </is>
      </c>
      <c r="DY45" s="137" t="inlineStr">
        <is>
          <t>PitchBook Research</t>
        </is>
      </c>
      <c r="DZ45" s="785">
        <f>HYPERLINK("https://my.pitchbook.com?c=221734-00", "View company online")</f>
      </c>
    </row>
    <row r="46">
      <c r="A46" s="139" t="inlineStr">
        <is>
          <t>222114-16</t>
        </is>
      </c>
      <c r="B46" s="140" t="inlineStr">
        <is>
          <t>FinScience</t>
        </is>
      </c>
      <c r="C46" s="141" t="inlineStr">
        <is>
          <t/>
        </is>
      </c>
      <c r="D46" s="142" t="inlineStr">
        <is>
          <t/>
        </is>
      </c>
      <c r="E46" s="143" t="inlineStr">
        <is>
          <t>222114-16</t>
        </is>
      </c>
      <c r="F46" s="144" t="inlineStr">
        <is>
          <t>Developer of a financial analysis platform designed to simplify the process of managing financial data. The company's platform provides 24/7 monitoring of digital data sources, analysis of correlation, prediction and segmentation of data and facilitates combining of structured and unstructured data, enabling companies to interpret digital data to improve functional investment choices.</t>
        </is>
      </c>
      <c r="G46" s="145" t="inlineStr">
        <is>
          <t>Information Technology</t>
        </is>
      </c>
      <c r="H46" s="146" t="inlineStr">
        <is>
          <t>Software</t>
        </is>
      </c>
      <c r="I46" s="147" t="inlineStr">
        <is>
          <t>Financial Software</t>
        </is>
      </c>
      <c r="J46" s="148" t="inlineStr">
        <is>
          <t>Financial Software*; Media and Information Services (B2B); Database Software</t>
        </is>
      </c>
      <c r="K46" s="149" t="inlineStr">
        <is>
          <t>FinTech</t>
        </is>
      </c>
      <c r="L46" s="150" t="inlineStr">
        <is>
          <t>Angel-Backed</t>
        </is>
      </c>
      <c r="M46" s="151" t="n">
        <v>1.0</v>
      </c>
      <c r="N46" s="152" t="inlineStr">
        <is>
          <t>Generating Revenue</t>
        </is>
      </c>
      <c r="O46" s="153" t="inlineStr">
        <is>
          <t>Privately Held (backing)</t>
        </is>
      </c>
      <c r="P46" s="154" t="inlineStr">
        <is>
          <t>Pre-venture</t>
        </is>
      </c>
      <c r="Q46" s="155" t="inlineStr">
        <is>
          <t>www.finscience.com</t>
        </is>
      </c>
      <c r="R46" s="156" t="inlineStr">
        <is>
          <t/>
        </is>
      </c>
      <c r="S46" s="157" t="inlineStr">
        <is>
          <t/>
        </is>
      </c>
      <c r="T46" s="158" t="inlineStr">
        <is>
          <t/>
        </is>
      </c>
      <c r="U46" s="159" t="n">
        <v>2017.0</v>
      </c>
      <c r="V46" s="160" t="inlineStr">
        <is>
          <t/>
        </is>
      </c>
      <c r="W46" s="161" t="inlineStr">
        <is>
          <t/>
        </is>
      </c>
      <c r="X46" s="162" t="inlineStr">
        <is>
          <t/>
        </is>
      </c>
      <c r="Y46" s="163" t="inlineStr">
        <is>
          <t/>
        </is>
      </c>
      <c r="Z46" s="164" t="inlineStr">
        <is>
          <t/>
        </is>
      </c>
      <c r="AA46" s="165" t="inlineStr">
        <is>
          <t/>
        </is>
      </c>
      <c r="AB46" s="166" t="inlineStr">
        <is>
          <t/>
        </is>
      </c>
      <c r="AC46" s="167" t="inlineStr">
        <is>
          <t/>
        </is>
      </c>
      <c r="AD46" s="168" t="inlineStr">
        <is>
          <t/>
        </is>
      </c>
      <c r="AE46" s="169" t="inlineStr">
        <is>
          <t>174162-52P</t>
        </is>
      </c>
      <c r="AF46" s="170" t="inlineStr">
        <is>
          <t>Victoria Zimina</t>
        </is>
      </c>
      <c r="AG46" s="171" t="inlineStr">
        <is>
          <t>Chief Executive Officer</t>
        </is>
      </c>
      <c r="AH46" s="172" t="inlineStr">
        <is>
          <t/>
        </is>
      </c>
      <c r="AI46" s="173" t="inlineStr">
        <is>
          <t>+39 02 7628 1064</t>
        </is>
      </c>
      <c r="AJ46" s="174" t="inlineStr">
        <is>
          <t>Milan, Italy</t>
        </is>
      </c>
      <c r="AK46" s="175" t="inlineStr">
        <is>
          <t>Foro Buonaparte 71</t>
        </is>
      </c>
      <c r="AL46" s="176" t="inlineStr">
        <is>
          <t/>
        </is>
      </c>
      <c r="AM46" s="177" t="inlineStr">
        <is>
          <t>Milan</t>
        </is>
      </c>
      <c r="AN46" s="178" t="inlineStr">
        <is>
          <t/>
        </is>
      </c>
      <c r="AO46" s="179" t="inlineStr">
        <is>
          <t>20121</t>
        </is>
      </c>
      <c r="AP46" s="180" t="inlineStr">
        <is>
          <t>Italy</t>
        </is>
      </c>
      <c r="AQ46" s="181" t="inlineStr">
        <is>
          <t>+39 02 7628 1064</t>
        </is>
      </c>
      <c r="AR46" s="182" t="inlineStr">
        <is>
          <t>+39 02 4813 927</t>
        </is>
      </c>
      <c r="AS46" s="183" t="inlineStr">
        <is>
          <t/>
        </is>
      </c>
      <c r="AT46" s="184" t="inlineStr">
        <is>
          <t>Europe</t>
        </is>
      </c>
      <c r="AU46" s="185" t="inlineStr">
        <is>
          <t>Southern Europe</t>
        </is>
      </c>
      <c r="AV46" s="186" t="inlineStr">
        <is>
          <t>The company raised EUR 1 million of seed funding from undisclosed investors on November 9, 2017. The funds will be used to support the commercial launch, to enlarge the tech team and to develop FinScience software adding new features and machine learning algorithms to the platform.</t>
        </is>
      </c>
      <c r="AW46" s="187" t="inlineStr">
        <is>
          <t/>
        </is>
      </c>
      <c r="AX46" s="188" t="inlineStr">
        <is>
          <t/>
        </is>
      </c>
      <c r="AY46" s="189" t="inlineStr">
        <is>
          <t/>
        </is>
      </c>
      <c r="AZ46" s="190" t="inlineStr">
        <is>
          <t/>
        </is>
      </c>
      <c r="BA46" s="191" t="inlineStr">
        <is>
          <t/>
        </is>
      </c>
      <c r="BB46" s="192" t="inlineStr">
        <is>
          <t/>
        </is>
      </c>
      <c r="BC46" s="193" t="inlineStr">
        <is>
          <t/>
        </is>
      </c>
      <c r="BD46" s="194" t="inlineStr">
        <is>
          <t/>
        </is>
      </c>
      <c r="BE46" s="195" t="inlineStr">
        <is>
          <t/>
        </is>
      </c>
      <c r="BF46" s="196" t="inlineStr">
        <is>
          <t>GVA Advisory Services (Legal Advisor), EPIC Fitness Inc. (Legal Advisor)</t>
        </is>
      </c>
      <c r="BG46" s="197" t="n">
        <v>43048.0</v>
      </c>
      <c r="BH46" s="198" t="n">
        <v>1.0</v>
      </c>
      <c r="BI46" s="199" t="inlineStr">
        <is>
          <t>Actual</t>
        </is>
      </c>
      <c r="BJ46" s="200" t="inlineStr">
        <is>
          <t/>
        </is>
      </c>
      <c r="BK46" s="201" t="inlineStr">
        <is>
          <t/>
        </is>
      </c>
      <c r="BL46" s="202" t="inlineStr">
        <is>
          <t>Seed Round</t>
        </is>
      </c>
      <c r="BM46" s="203" t="inlineStr">
        <is>
          <t>Seed</t>
        </is>
      </c>
      <c r="BN46" s="204" t="inlineStr">
        <is>
          <t/>
        </is>
      </c>
      <c r="BO46" s="205" t="inlineStr">
        <is>
          <t>Individual</t>
        </is>
      </c>
      <c r="BP46" s="206" t="inlineStr">
        <is>
          <t/>
        </is>
      </c>
      <c r="BQ46" s="207" t="inlineStr">
        <is>
          <t/>
        </is>
      </c>
      <c r="BR46" s="208" t="inlineStr">
        <is>
          <t/>
        </is>
      </c>
      <c r="BS46" s="209" t="inlineStr">
        <is>
          <t>Completed</t>
        </is>
      </c>
      <c r="BT46" s="210" t="n">
        <v>43048.0</v>
      </c>
      <c r="BU46" s="211" t="n">
        <v>1.0</v>
      </c>
      <c r="BV46" s="212" t="inlineStr">
        <is>
          <t>Actual</t>
        </is>
      </c>
      <c r="BW46" s="213" t="inlineStr">
        <is>
          <t/>
        </is>
      </c>
      <c r="BX46" s="214" t="inlineStr">
        <is>
          <t/>
        </is>
      </c>
      <c r="BY46" s="215" t="inlineStr">
        <is>
          <t>Seed Round</t>
        </is>
      </c>
      <c r="BZ46" s="216" t="inlineStr">
        <is>
          <t>Seed</t>
        </is>
      </c>
      <c r="CA46" s="217" t="inlineStr">
        <is>
          <t/>
        </is>
      </c>
      <c r="CB46" s="218" t="inlineStr">
        <is>
          <t>Individual</t>
        </is>
      </c>
      <c r="CC46" s="219" t="inlineStr">
        <is>
          <t/>
        </is>
      </c>
      <c r="CD46" s="220" t="inlineStr">
        <is>
          <t/>
        </is>
      </c>
      <c r="CE46" s="221" t="inlineStr">
        <is>
          <t/>
        </is>
      </c>
      <c r="CF46" s="222" t="inlineStr">
        <is>
          <t>Completed</t>
        </is>
      </c>
      <c r="CG46" s="223" t="inlineStr">
        <is>
          <t/>
        </is>
      </c>
      <c r="CH46" s="224" t="inlineStr">
        <is>
          <t/>
        </is>
      </c>
      <c r="CI46" s="225" t="inlineStr">
        <is>
          <t/>
        </is>
      </c>
      <c r="CJ46" s="226" t="inlineStr">
        <is>
          <t/>
        </is>
      </c>
      <c r="CK46" s="227" t="inlineStr">
        <is>
          <t/>
        </is>
      </c>
      <c r="CL46" s="228" t="inlineStr">
        <is>
          <t/>
        </is>
      </c>
      <c r="CM46" s="229" t="inlineStr">
        <is>
          <t/>
        </is>
      </c>
      <c r="CN46" s="230" t="inlineStr">
        <is>
          <t/>
        </is>
      </c>
      <c r="CO46" s="231" t="inlineStr">
        <is>
          <t/>
        </is>
      </c>
      <c r="CP46" s="232" t="inlineStr">
        <is>
          <t/>
        </is>
      </c>
      <c r="CQ46" s="233" t="inlineStr">
        <is>
          <t/>
        </is>
      </c>
      <c r="CR46" s="234" t="inlineStr">
        <is>
          <t/>
        </is>
      </c>
      <c r="CS46" s="235" t="inlineStr">
        <is>
          <t/>
        </is>
      </c>
      <c r="CT46" s="236" t="inlineStr">
        <is>
          <t/>
        </is>
      </c>
      <c r="CU46" s="237" t="inlineStr">
        <is>
          <t/>
        </is>
      </c>
      <c r="CV46" s="238" t="inlineStr">
        <is>
          <t/>
        </is>
      </c>
      <c r="CW46" s="239" t="inlineStr">
        <is>
          <t/>
        </is>
      </c>
      <c r="CX46" s="240" t="inlineStr">
        <is>
          <t/>
        </is>
      </c>
      <c r="CY46" s="241" t="inlineStr">
        <is>
          <t/>
        </is>
      </c>
      <c r="CZ46" s="242" t="inlineStr">
        <is>
          <t/>
        </is>
      </c>
      <c r="DA46" s="243" t="inlineStr">
        <is>
          <t/>
        </is>
      </c>
      <c r="DB46" s="244" t="inlineStr">
        <is>
          <t/>
        </is>
      </c>
      <c r="DC46" s="245" t="inlineStr">
        <is>
          <t/>
        </is>
      </c>
      <c r="DD46" s="246" t="inlineStr">
        <is>
          <t/>
        </is>
      </c>
      <c r="DE46" s="247" t="inlineStr">
        <is>
          <t/>
        </is>
      </c>
      <c r="DF46" s="248" t="inlineStr">
        <is>
          <t/>
        </is>
      </c>
      <c r="DG46" s="249" t="inlineStr">
        <is>
          <t/>
        </is>
      </c>
      <c r="DH46" s="250" t="inlineStr">
        <is>
          <t/>
        </is>
      </c>
      <c r="DI46" s="251" t="inlineStr">
        <is>
          <t/>
        </is>
      </c>
      <c r="DJ46" s="252" t="inlineStr">
        <is>
          <t/>
        </is>
      </c>
      <c r="DK46" s="253" t="inlineStr">
        <is>
          <t/>
        </is>
      </c>
      <c r="DL46" s="254" t="inlineStr">
        <is>
          <t/>
        </is>
      </c>
      <c r="DM46" s="255" t="inlineStr">
        <is>
          <t/>
        </is>
      </c>
      <c r="DN46" s="256" t="inlineStr">
        <is>
          <t/>
        </is>
      </c>
      <c r="DO46" s="257" t="inlineStr">
        <is>
          <t/>
        </is>
      </c>
      <c r="DP46" s="258" t="inlineStr">
        <is>
          <t/>
        </is>
      </c>
      <c r="DQ46" s="259" t="inlineStr">
        <is>
          <t/>
        </is>
      </c>
      <c r="DR46" s="260" t="inlineStr">
        <is>
          <t/>
        </is>
      </c>
      <c r="DS46" s="261" t="inlineStr">
        <is>
          <t/>
        </is>
      </c>
      <c r="DT46" s="262" t="inlineStr">
        <is>
          <t/>
        </is>
      </c>
      <c r="DU46" s="263" t="inlineStr">
        <is>
          <t/>
        </is>
      </c>
      <c r="DV46" s="264" t="inlineStr">
        <is>
          <t/>
        </is>
      </c>
      <c r="DW46" s="265" t="inlineStr">
        <is>
          <t/>
        </is>
      </c>
      <c r="DX46" s="266" t="inlineStr">
        <is>
          <t/>
        </is>
      </c>
      <c r="DY46" s="267" t="inlineStr">
        <is>
          <t>PitchBook Research</t>
        </is>
      </c>
      <c r="DZ46" s="786">
        <f>HYPERLINK("https://my.pitchbook.com?c=222114-16", "View company online")</f>
      </c>
    </row>
    <row r="47">
      <c r="A47" s="9" t="inlineStr">
        <is>
          <t>222232-69</t>
        </is>
      </c>
      <c r="B47" s="10" t="inlineStr">
        <is>
          <t>ProVision Vehicle Cameras</t>
        </is>
      </c>
      <c r="C47" s="11" t="inlineStr">
        <is>
          <t/>
        </is>
      </c>
      <c r="D47" s="12" t="inlineStr">
        <is>
          <t>ProVision</t>
        </is>
      </c>
      <c r="E47" s="13" t="inlineStr">
        <is>
          <t>222232-69</t>
        </is>
      </c>
      <c r="F47" s="14" t="inlineStr">
        <is>
          <t>Developer of IoT fleet management system created to reduce fleet risk, increase driver safety and better manage the growing compliance and regulatory demands on fleet operators. The company fits a combination of sensors, radar technology and cameras to vehicles to help transport managers monitor their fleets via its Internet-based software. It designs smart systems for tracking fleets and monitoring driver behavior, enabling companies to improve driver safety and fleet efficiencies, or when trying to recreate incidents.</t>
        </is>
      </c>
      <c r="G47" s="15" t="inlineStr">
        <is>
          <t>Information Technology</t>
        </is>
      </c>
      <c r="H47" s="16" t="inlineStr">
        <is>
          <t>Software</t>
        </is>
      </c>
      <c r="I47" s="17" t="inlineStr">
        <is>
          <t>Application Software</t>
        </is>
      </c>
      <c r="J47" s="18" t="inlineStr">
        <is>
          <t>Application Software*</t>
        </is>
      </c>
      <c r="K47" s="19" t="inlineStr">
        <is>
          <t>Internet of Things, SaaS</t>
        </is>
      </c>
      <c r="L47" s="20" t="inlineStr">
        <is>
          <t>Venture Capital-Backed</t>
        </is>
      </c>
      <c r="M47" s="21" t="n">
        <v>1.0</v>
      </c>
      <c r="N47" s="22" t="inlineStr">
        <is>
          <t>Profitable</t>
        </is>
      </c>
      <c r="O47" s="23" t="inlineStr">
        <is>
          <t>Privately Held (backing)</t>
        </is>
      </c>
      <c r="P47" s="24" t="inlineStr">
        <is>
          <t>Venture Capital</t>
        </is>
      </c>
      <c r="Q47" s="25" t="inlineStr">
        <is>
          <t>provisioncameramatics.com</t>
        </is>
      </c>
      <c r="R47" s="26" t="n">
        <v>17.0</v>
      </c>
      <c r="S47" s="27" t="inlineStr">
        <is>
          <t/>
        </is>
      </c>
      <c r="T47" s="28" t="inlineStr">
        <is>
          <t/>
        </is>
      </c>
      <c r="U47" s="29" t="n">
        <v>2016.0</v>
      </c>
      <c r="V47" s="30" t="inlineStr">
        <is>
          <t/>
        </is>
      </c>
      <c r="W47" s="31" t="inlineStr">
        <is>
          <t/>
        </is>
      </c>
      <c r="X47" s="32" t="inlineStr">
        <is>
          <t/>
        </is>
      </c>
      <c r="Y47" s="33" t="n">
        <v>7.59452</v>
      </c>
      <c r="Z47" s="34" t="inlineStr">
        <is>
          <t/>
        </is>
      </c>
      <c r="AA47" s="35" t="inlineStr">
        <is>
          <t/>
        </is>
      </c>
      <c r="AB47" s="36" t="inlineStr">
        <is>
          <t/>
        </is>
      </c>
      <c r="AC47" s="37" t="inlineStr">
        <is>
          <t/>
        </is>
      </c>
      <c r="AD47" s="38" t="inlineStr">
        <is>
          <t>FY 2018</t>
        </is>
      </c>
      <c r="AE47" s="39" t="inlineStr">
        <is>
          <t>77495-77P</t>
        </is>
      </c>
      <c r="AF47" s="40" t="inlineStr">
        <is>
          <t>Mervyn O'Callaghan</t>
        </is>
      </c>
      <c r="AG47" s="41" t="inlineStr">
        <is>
          <t>Managing Director &amp; Co-Founder</t>
        </is>
      </c>
      <c r="AH47" s="42" t="inlineStr">
        <is>
          <t>mervyn@provisioncameramatics.com</t>
        </is>
      </c>
      <c r="AI47" s="43" t="inlineStr">
        <is>
          <t>+353 (0)1 960 3030</t>
        </is>
      </c>
      <c r="AJ47" s="44" t="inlineStr">
        <is>
          <t>Dublin, Ireland</t>
        </is>
      </c>
      <c r="AK47" s="45" t="inlineStr">
        <is>
          <t>18 Primeside Business Park</t>
        </is>
      </c>
      <c r="AL47" s="46" t="inlineStr">
        <is>
          <t>Ballycoolin</t>
        </is>
      </c>
      <c r="AM47" s="47" t="inlineStr">
        <is>
          <t>Dublin</t>
        </is>
      </c>
      <c r="AN47" s="48" t="inlineStr">
        <is>
          <t/>
        </is>
      </c>
      <c r="AO47" s="49" t="inlineStr">
        <is>
          <t>D15 RF20</t>
        </is>
      </c>
      <c r="AP47" s="50" t="inlineStr">
        <is>
          <t>Ireland</t>
        </is>
      </c>
      <c r="AQ47" s="51" t="inlineStr">
        <is>
          <t>+353 (0)1 960 3030</t>
        </is>
      </c>
      <c r="AR47" s="52" t="inlineStr">
        <is>
          <t/>
        </is>
      </c>
      <c r="AS47" s="53" t="inlineStr">
        <is>
          <t/>
        </is>
      </c>
      <c r="AT47" s="54" t="inlineStr">
        <is>
          <t>Europe</t>
        </is>
      </c>
      <c r="AU47" s="55" t="inlineStr">
        <is>
          <t>Western Europe</t>
        </is>
      </c>
      <c r="AV47" s="56" t="inlineStr">
        <is>
          <t>The company raised EUR 1 million of venture funding from Suir Valley Ventures on November 10, 2017. The funds will be used to hire more software developers and expand its sales team in the UK.</t>
        </is>
      </c>
      <c r="AW47" s="57" t="inlineStr">
        <is>
          <t>Suir Valley Ventures</t>
        </is>
      </c>
      <c r="AX47" s="58" t="n">
        <v>1.0</v>
      </c>
      <c r="AY47" s="59" t="inlineStr">
        <is>
          <t/>
        </is>
      </c>
      <c r="AZ47" s="60" t="inlineStr">
        <is>
          <t/>
        </is>
      </c>
      <c r="BA47" s="61" t="inlineStr">
        <is>
          <t/>
        </is>
      </c>
      <c r="BB47" s="62" t="inlineStr">
        <is>
          <t/>
        </is>
      </c>
      <c r="BC47" s="63" t="inlineStr">
        <is>
          <t/>
        </is>
      </c>
      <c r="BD47" s="64" t="inlineStr">
        <is>
          <t/>
        </is>
      </c>
      <c r="BE47" s="65" t="inlineStr">
        <is>
          <t/>
        </is>
      </c>
      <c r="BF47" s="66" t="inlineStr">
        <is>
          <t/>
        </is>
      </c>
      <c r="BG47" s="67" t="n">
        <v>43049.0</v>
      </c>
      <c r="BH47" s="68" t="n">
        <v>1.0</v>
      </c>
      <c r="BI47" s="69" t="inlineStr">
        <is>
          <t>Actual</t>
        </is>
      </c>
      <c r="BJ47" s="70" t="inlineStr">
        <is>
          <t/>
        </is>
      </c>
      <c r="BK47" s="71" t="inlineStr">
        <is>
          <t/>
        </is>
      </c>
      <c r="BL47" s="72" t="inlineStr">
        <is>
          <t>Early Stage VC</t>
        </is>
      </c>
      <c r="BM47" s="73" t="inlineStr">
        <is>
          <t/>
        </is>
      </c>
      <c r="BN47" s="74" t="inlineStr">
        <is>
          <t/>
        </is>
      </c>
      <c r="BO47" s="75" t="inlineStr">
        <is>
          <t>Venture Capital</t>
        </is>
      </c>
      <c r="BP47" s="76" t="inlineStr">
        <is>
          <t/>
        </is>
      </c>
      <c r="BQ47" s="77" t="inlineStr">
        <is>
          <t/>
        </is>
      </c>
      <c r="BR47" s="78" t="inlineStr">
        <is>
          <t/>
        </is>
      </c>
      <c r="BS47" s="79" t="inlineStr">
        <is>
          <t>Completed</t>
        </is>
      </c>
      <c r="BT47" s="80" t="n">
        <v>43049.0</v>
      </c>
      <c r="BU47" s="81" t="n">
        <v>1.0</v>
      </c>
      <c r="BV47" s="82" t="inlineStr">
        <is>
          <t>Actual</t>
        </is>
      </c>
      <c r="BW47" s="83" t="inlineStr">
        <is>
          <t/>
        </is>
      </c>
      <c r="BX47" s="84" t="inlineStr">
        <is>
          <t/>
        </is>
      </c>
      <c r="BY47" s="85" t="inlineStr">
        <is>
          <t>Early Stage VC</t>
        </is>
      </c>
      <c r="BZ47" s="86" t="inlineStr">
        <is>
          <t/>
        </is>
      </c>
      <c r="CA47" s="87" t="inlineStr">
        <is>
          <t/>
        </is>
      </c>
      <c r="CB47" s="88" t="inlineStr">
        <is>
          <t>Venture Capital</t>
        </is>
      </c>
      <c r="CC47" s="89" t="inlineStr">
        <is>
          <t/>
        </is>
      </c>
      <c r="CD47" s="90" t="inlineStr">
        <is>
          <t/>
        </is>
      </c>
      <c r="CE47" s="91" t="inlineStr">
        <is>
          <t/>
        </is>
      </c>
      <c r="CF47" s="92" t="inlineStr">
        <is>
          <t>Completed</t>
        </is>
      </c>
      <c r="CG47" s="93" t="inlineStr">
        <is>
          <t/>
        </is>
      </c>
      <c r="CH47" s="94" t="inlineStr">
        <is>
          <t/>
        </is>
      </c>
      <c r="CI47" s="95" t="inlineStr">
        <is>
          <t/>
        </is>
      </c>
      <c r="CJ47" s="96" t="inlineStr">
        <is>
          <t/>
        </is>
      </c>
      <c r="CK47" s="97" t="inlineStr">
        <is>
          <t/>
        </is>
      </c>
      <c r="CL47" s="98" t="inlineStr">
        <is>
          <t/>
        </is>
      </c>
      <c r="CM47" s="99" t="inlineStr">
        <is>
          <t/>
        </is>
      </c>
      <c r="CN47" s="100" t="inlineStr">
        <is>
          <t/>
        </is>
      </c>
      <c r="CO47" s="101" t="inlineStr">
        <is>
          <t/>
        </is>
      </c>
      <c r="CP47" s="102" t="inlineStr">
        <is>
          <t/>
        </is>
      </c>
      <c r="CQ47" s="103" t="inlineStr">
        <is>
          <t/>
        </is>
      </c>
      <c r="CR47" s="104" t="inlineStr">
        <is>
          <t/>
        </is>
      </c>
      <c r="CS47" s="105" t="inlineStr">
        <is>
          <t/>
        </is>
      </c>
      <c r="CT47" s="106" t="inlineStr">
        <is>
          <t/>
        </is>
      </c>
      <c r="CU47" s="107" t="inlineStr">
        <is>
          <t/>
        </is>
      </c>
      <c r="CV47" s="108" t="inlineStr">
        <is>
          <t/>
        </is>
      </c>
      <c r="CW47" s="109" t="inlineStr">
        <is>
          <t/>
        </is>
      </c>
      <c r="CX47" s="110" t="inlineStr">
        <is>
          <t/>
        </is>
      </c>
      <c r="CY47" s="111" t="inlineStr">
        <is>
          <t/>
        </is>
      </c>
      <c r="CZ47" s="112" t="inlineStr">
        <is>
          <t/>
        </is>
      </c>
      <c r="DA47" s="113" t="inlineStr">
        <is>
          <t/>
        </is>
      </c>
      <c r="DB47" s="114" t="inlineStr">
        <is>
          <t/>
        </is>
      </c>
      <c r="DC47" s="115" t="inlineStr">
        <is>
          <t/>
        </is>
      </c>
      <c r="DD47" s="116" t="inlineStr">
        <is>
          <t/>
        </is>
      </c>
      <c r="DE47" s="117" t="inlineStr">
        <is>
          <t/>
        </is>
      </c>
      <c r="DF47" s="118" t="inlineStr">
        <is>
          <t/>
        </is>
      </c>
      <c r="DG47" s="119" t="inlineStr">
        <is>
          <t/>
        </is>
      </c>
      <c r="DH47" s="120" t="inlineStr">
        <is>
          <t/>
        </is>
      </c>
      <c r="DI47" s="121" t="inlineStr">
        <is>
          <t/>
        </is>
      </c>
      <c r="DJ47" s="122" t="inlineStr">
        <is>
          <t/>
        </is>
      </c>
      <c r="DK47" s="123" t="inlineStr">
        <is>
          <t/>
        </is>
      </c>
      <c r="DL47" s="124" t="inlineStr">
        <is>
          <t/>
        </is>
      </c>
      <c r="DM47" s="125" t="inlineStr">
        <is>
          <t/>
        </is>
      </c>
      <c r="DN47" s="126" t="inlineStr">
        <is>
          <t/>
        </is>
      </c>
      <c r="DO47" s="127" t="inlineStr">
        <is>
          <t/>
        </is>
      </c>
      <c r="DP47" s="128" t="inlineStr">
        <is>
          <t/>
        </is>
      </c>
      <c r="DQ47" s="129" t="inlineStr">
        <is>
          <t/>
        </is>
      </c>
      <c r="DR47" s="130" t="inlineStr">
        <is>
          <t/>
        </is>
      </c>
      <c r="DS47" s="131" t="inlineStr">
        <is>
          <t/>
        </is>
      </c>
      <c r="DT47" s="132" t="inlineStr">
        <is>
          <t/>
        </is>
      </c>
      <c r="DU47" s="133" t="inlineStr">
        <is>
          <t/>
        </is>
      </c>
      <c r="DV47" s="134" t="inlineStr">
        <is>
          <t/>
        </is>
      </c>
      <c r="DW47" s="135" t="inlineStr">
        <is>
          <t/>
        </is>
      </c>
      <c r="DX47" s="136" t="inlineStr">
        <is>
          <t/>
        </is>
      </c>
      <c r="DY47" s="137" t="inlineStr">
        <is>
          <t>PitchBook Research</t>
        </is>
      </c>
      <c r="DZ47" s="785">
        <f>HYPERLINK("https://my.pitchbook.com?c=222232-69", "View company online")</f>
      </c>
    </row>
    <row r="48">
      <c r="A48" s="139" t="inlineStr">
        <is>
          <t>94329-46</t>
        </is>
      </c>
      <c r="B48" s="140" t="inlineStr">
        <is>
          <t>United Wardrobe</t>
        </is>
      </c>
      <c r="C48" s="141" t="inlineStr">
        <is>
          <t/>
        </is>
      </c>
      <c r="D48" s="142" t="inlineStr">
        <is>
          <t/>
        </is>
      </c>
      <c r="E48" s="143" t="inlineStr">
        <is>
          <t>94329-46</t>
        </is>
      </c>
      <c r="F48" s="144" t="inlineStr">
        <is>
          <t>Provider of an online platform intended to offer clothing and apparel products. The company's online platform offers a marketplace where users can trade second hand clothing and interact with their peers, enabling the users to exchange clothes between them through a single platform.</t>
        </is>
      </c>
      <c r="G48" s="145" t="inlineStr">
        <is>
          <t>Consumer Products and Services (B2C)</t>
        </is>
      </c>
      <c r="H48" s="146" t="inlineStr">
        <is>
          <t>Apparel and Accessories</t>
        </is>
      </c>
      <c r="I48" s="147" t="inlineStr">
        <is>
          <t>Clothing</t>
        </is>
      </c>
      <c r="J48" s="148" t="inlineStr">
        <is>
          <t>Clothing*; Other Apparel; Specialty Retail</t>
        </is>
      </c>
      <c r="K48" s="149" t="inlineStr">
        <is>
          <t>E-Commerce</t>
        </is>
      </c>
      <c r="L48" s="150" t="inlineStr">
        <is>
          <t>Venture Capital-Backed</t>
        </is>
      </c>
      <c r="M48" s="151" t="n">
        <v>1.0</v>
      </c>
      <c r="N48" s="152" t="inlineStr">
        <is>
          <t>Generating Revenue</t>
        </is>
      </c>
      <c r="O48" s="153" t="inlineStr">
        <is>
          <t>Privately Held (backing)</t>
        </is>
      </c>
      <c r="P48" s="154" t="inlineStr">
        <is>
          <t>Venture Capital</t>
        </is>
      </c>
      <c r="Q48" s="155" t="inlineStr">
        <is>
          <t>www.unitedwardrobe.nl</t>
        </is>
      </c>
      <c r="R48" s="156" t="n">
        <v>5.0</v>
      </c>
      <c r="S48" s="157" t="inlineStr">
        <is>
          <t/>
        </is>
      </c>
      <c r="T48" s="158" t="inlineStr">
        <is>
          <t/>
        </is>
      </c>
      <c r="U48" s="159" t="n">
        <v>2014.0</v>
      </c>
      <c r="V48" s="160" t="inlineStr">
        <is>
          <t/>
        </is>
      </c>
      <c r="W48" s="161" t="inlineStr">
        <is>
          <t/>
        </is>
      </c>
      <c r="X48" s="162" t="inlineStr">
        <is>
          <t/>
        </is>
      </c>
      <c r="Y48" s="163" t="n">
        <v>1.1396</v>
      </c>
      <c r="Z48" s="164" t="inlineStr">
        <is>
          <t/>
        </is>
      </c>
      <c r="AA48" s="165" t="inlineStr">
        <is>
          <t/>
        </is>
      </c>
      <c r="AB48" s="166" t="inlineStr">
        <is>
          <t/>
        </is>
      </c>
      <c r="AC48" s="167" t="inlineStr">
        <is>
          <t/>
        </is>
      </c>
      <c r="AD48" s="168" t="inlineStr">
        <is>
          <t>FY 2017</t>
        </is>
      </c>
      <c r="AE48" s="169" t="inlineStr">
        <is>
          <t>174209-23P</t>
        </is>
      </c>
      <c r="AF48" s="170" t="inlineStr">
        <is>
          <t>Thijs Verheul</t>
        </is>
      </c>
      <c r="AG48" s="171" t="inlineStr">
        <is>
          <t>Co-Founder</t>
        </is>
      </c>
      <c r="AH48" s="172" t="inlineStr">
        <is>
          <t>thijs@unitedwardrobe.nl</t>
        </is>
      </c>
      <c r="AI48" s="173" t="inlineStr">
        <is>
          <t/>
        </is>
      </c>
      <c r="AJ48" s="174" t="inlineStr">
        <is>
          <t>Utrecht, Netherlands</t>
        </is>
      </c>
      <c r="AK48" s="175" t="inlineStr">
        <is>
          <t>Vinkenburgstraat 2a</t>
        </is>
      </c>
      <c r="AL48" s="176" t="inlineStr">
        <is>
          <t/>
        </is>
      </c>
      <c r="AM48" s="177" t="inlineStr">
        <is>
          <t>Utrecht</t>
        </is>
      </c>
      <c r="AN48" s="178" t="inlineStr">
        <is>
          <t/>
        </is>
      </c>
      <c r="AO48" s="179" t="inlineStr">
        <is>
          <t>3512 AB</t>
        </is>
      </c>
      <c r="AP48" s="180" t="inlineStr">
        <is>
          <t>Netherlands</t>
        </is>
      </c>
      <c r="AQ48" s="181" t="inlineStr">
        <is>
          <t/>
        </is>
      </c>
      <c r="AR48" s="182" t="inlineStr">
        <is>
          <t/>
        </is>
      </c>
      <c r="AS48" s="183" t="inlineStr">
        <is>
          <t/>
        </is>
      </c>
      <c r="AT48" s="184" t="inlineStr">
        <is>
          <t>Europe</t>
        </is>
      </c>
      <c r="AU48" s="185" t="inlineStr">
        <is>
          <t>Western Europe</t>
        </is>
      </c>
      <c r="AV48" s="186" t="inlineStr">
        <is>
          <t>The company raised EUR 1 million of venture funding from Peak Capital on November 3, 2017. The startup will be invested in the company's international rollout in order to connect buyers around Europe.</t>
        </is>
      </c>
      <c r="AW48" s="187" t="inlineStr">
        <is>
          <t>Accenture Innovation Awards, Peak Capital</t>
        </is>
      </c>
      <c r="AX48" s="188" t="n">
        <v>2.0</v>
      </c>
      <c r="AY48" s="189" t="inlineStr">
        <is>
          <t/>
        </is>
      </c>
      <c r="AZ48" s="190" t="inlineStr">
        <is>
          <t/>
        </is>
      </c>
      <c r="BA48" s="191" t="inlineStr">
        <is>
          <t/>
        </is>
      </c>
      <c r="BB48" s="192" t="inlineStr">
        <is>
          <t>Accenture Innovation Awards (innovation-awards.nl), Peak Capital (www.peak.capital)</t>
        </is>
      </c>
      <c r="BC48" s="193" t="inlineStr">
        <is>
          <t/>
        </is>
      </c>
      <c r="BD48" s="194" t="inlineStr">
        <is>
          <t/>
        </is>
      </c>
      <c r="BE48" s="195" t="inlineStr">
        <is>
          <t/>
        </is>
      </c>
      <c r="BF48" s="196" t="inlineStr">
        <is>
          <t>Ingen Housz (Legal Advisor)</t>
        </is>
      </c>
      <c r="BG48" s="197" t="n">
        <v>42258.0</v>
      </c>
      <c r="BH48" s="198" t="n">
        <v>0.02</v>
      </c>
      <c r="BI48" s="199" t="inlineStr">
        <is>
          <t>Actual</t>
        </is>
      </c>
      <c r="BJ48" s="200" t="inlineStr">
        <is>
          <t/>
        </is>
      </c>
      <c r="BK48" s="201" t="inlineStr">
        <is>
          <t/>
        </is>
      </c>
      <c r="BL48" s="202" t="inlineStr">
        <is>
          <t>Grant</t>
        </is>
      </c>
      <c r="BM48" s="203" t="inlineStr">
        <is>
          <t/>
        </is>
      </c>
      <c r="BN48" s="204" t="inlineStr">
        <is>
          <t/>
        </is>
      </c>
      <c r="BO48" s="205" t="inlineStr">
        <is>
          <t>Other</t>
        </is>
      </c>
      <c r="BP48" s="206" t="inlineStr">
        <is>
          <t/>
        </is>
      </c>
      <c r="BQ48" s="207" t="inlineStr">
        <is>
          <t/>
        </is>
      </c>
      <c r="BR48" s="208" t="inlineStr">
        <is>
          <t/>
        </is>
      </c>
      <c r="BS48" s="209" t="inlineStr">
        <is>
          <t>Completed</t>
        </is>
      </c>
      <c r="BT48" s="210" t="n">
        <v>43042.0</v>
      </c>
      <c r="BU48" s="211" t="n">
        <v>1.0</v>
      </c>
      <c r="BV48" s="212" t="inlineStr">
        <is>
          <t>Actual</t>
        </is>
      </c>
      <c r="BW48" s="213" t="inlineStr">
        <is>
          <t/>
        </is>
      </c>
      <c r="BX48" s="214" t="inlineStr">
        <is>
          <t/>
        </is>
      </c>
      <c r="BY48" s="215" t="inlineStr">
        <is>
          <t>Early Stage VC</t>
        </is>
      </c>
      <c r="BZ48" s="216" t="inlineStr">
        <is>
          <t/>
        </is>
      </c>
      <c r="CA48" s="217" t="inlineStr">
        <is>
          <t/>
        </is>
      </c>
      <c r="CB48" s="218" t="inlineStr">
        <is>
          <t>Venture Capital</t>
        </is>
      </c>
      <c r="CC48" s="219" t="inlineStr">
        <is>
          <t/>
        </is>
      </c>
      <c r="CD48" s="220" t="inlineStr">
        <is>
          <t/>
        </is>
      </c>
      <c r="CE48" s="221" t="inlineStr">
        <is>
          <t/>
        </is>
      </c>
      <c r="CF48" s="222" t="inlineStr">
        <is>
          <t>Completed</t>
        </is>
      </c>
      <c r="CG48" s="223" t="inlineStr">
        <is>
          <t>0,09%</t>
        </is>
      </c>
      <c r="CH48" s="224" t="inlineStr">
        <is>
          <t>82</t>
        </is>
      </c>
      <c r="CI48" s="225" t="inlineStr">
        <is>
          <t>0,00%</t>
        </is>
      </c>
      <c r="CJ48" s="226" t="inlineStr">
        <is>
          <t>-3,39%</t>
        </is>
      </c>
      <c r="CK48" s="227" t="inlineStr">
        <is>
          <t>0,00%</t>
        </is>
      </c>
      <c r="CL48" s="228" t="inlineStr">
        <is>
          <t>28</t>
        </is>
      </c>
      <c r="CM48" s="229" t="inlineStr">
        <is>
          <t>0,18%</t>
        </is>
      </c>
      <c r="CN48" s="230" t="inlineStr">
        <is>
          <t>69</t>
        </is>
      </c>
      <c r="CO48" s="231" t="inlineStr">
        <is>
          <t/>
        </is>
      </c>
      <c r="CP48" s="232" t="inlineStr">
        <is>
          <t/>
        </is>
      </c>
      <c r="CQ48" s="233" t="inlineStr">
        <is>
          <t>0,00%</t>
        </is>
      </c>
      <c r="CR48" s="234" t="inlineStr">
        <is>
          <t>20</t>
        </is>
      </c>
      <c r="CS48" s="235" t="inlineStr">
        <is>
          <t>0,15%</t>
        </is>
      </c>
      <c r="CT48" s="236" t="inlineStr">
        <is>
          <t>64</t>
        </is>
      </c>
      <c r="CU48" s="237" t="inlineStr">
        <is>
          <t>0,22%</t>
        </is>
      </c>
      <c r="CV48" s="238" t="inlineStr">
        <is>
          <t>78</t>
        </is>
      </c>
      <c r="CW48" s="239" t="inlineStr">
        <is>
          <t>46,12x</t>
        </is>
      </c>
      <c r="CX48" s="240" t="inlineStr">
        <is>
          <t>96</t>
        </is>
      </c>
      <c r="CY48" s="241" t="inlineStr">
        <is>
          <t>-0,21x</t>
        </is>
      </c>
      <c r="CZ48" s="242" t="inlineStr">
        <is>
          <t>-0,45%</t>
        </is>
      </c>
      <c r="DA48" s="243" t="inlineStr">
        <is>
          <t>1,17x</t>
        </is>
      </c>
      <c r="DB48" s="244" t="inlineStr">
        <is>
          <t>55</t>
        </is>
      </c>
      <c r="DC48" s="245" t="inlineStr">
        <is>
          <t>91,08x</t>
        </is>
      </c>
      <c r="DD48" s="246" t="inlineStr">
        <is>
          <t>96</t>
        </is>
      </c>
      <c r="DE48" s="247" t="inlineStr">
        <is>
          <t/>
        </is>
      </c>
      <c r="DF48" s="248" t="inlineStr">
        <is>
          <t/>
        </is>
      </c>
      <c r="DG48" s="249" t="inlineStr">
        <is>
          <t>1,17x</t>
        </is>
      </c>
      <c r="DH48" s="250" t="inlineStr">
        <is>
          <t>54</t>
        </is>
      </c>
      <c r="DI48" s="251" t="inlineStr">
        <is>
          <t>178,57x</t>
        </is>
      </c>
      <c r="DJ48" s="252" t="inlineStr">
        <is>
          <t>97</t>
        </is>
      </c>
      <c r="DK48" s="253" t="inlineStr">
        <is>
          <t>3,58x</t>
        </is>
      </c>
      <c r="DL48" s="254" t="inlineStr">
        <is>
          <t>74</t>
        </is>
      </c>
      <c r="DM48" s="255" t="inlineStr">
        <is>
          <t/>
        </is>
      </c>
      <c r="DN48" s="256" t="inlineStr">
        <is>
          <t/>
        </is>
      </c>
      <c r="DO48" s="257" t="inlineStr">
        <is>
          <t/>
        </is>
      </c>
      <c r="DP48" s="258" t="inlineStr">
        <is>
          <t>141.188</t>
        </is>
      </c>
      <c r="DQ48" s="259" t="inlineStr">
        <is>
          <t>316</t>
        </is>
      </c>
      <c r="DR48" s="260" t="inlineStr">
        <is>
          <t>0,22%</t>
        </is>
      </c>
      <c r="DS48" s="261" t="inlineStr">
        <is>
          <t>42</t>
        </is>
      </c>
      <c r="DT48" s="262" t="inlineStr">
        <is>
          <t>0</t>
        </is>
      </c>
      <c r="DU48" s="263" t="inlineStr">
        <is>
          <t>0,00%</t>
        </is>
      </c>
      <c r="DV48" s="264" t="inlineStr">
        <is>
          <t>1.337</t>
        </is>
      </c>
      <c r="DW48" s="265" t="inlineStr">
        <is>
          <t>3</t>
        </is>
      </c>
      <c r="DX48" s="266" t="inlineStr">
        <is>
          <t>0,22%</t>
        </is>
      </c>
      <c r="DY48" s="267" t="inlineStr">
        <is>
          <t>PitchBook Research</t>
        </is>
      </c>
      <c r="DZ48" s="786">
        <f>HYPERLINK("https://my.pitchbook.com?c=94329-46", "View company online")</f>
      </c>
    </row>
    <row r="49">
      <c r="A49" s="9" t="inlineStr">
        <is>
          <t>172420-84</t>
        </is>
      </c>
      <c r="B49" s="10" t="inlineStr">
        <is>
          <t>WorkPilots</t>
        </is>
      </c>
      <c r="C49" s="11" t="inlineStr">
        <is>
          <t/>
        </is>
      </c>
      <c r="D49" s="12" t="inlineStr">
        <is>
          <t/>
        </is>
      </c>
      <c r="E49" s="13" t="inlineStr">
        <is>
          <t>172420-84</t>
        </is>
      </c>
      <c r="F49" s="14" t="inlineStr">
        <is>
          <t>Provider of a mobile and Web job-matching service intended to connect people in need of work with households and organizations in need of help. The company's job-matching service is provided through a mobile application and online platform that helps in easily hiring people for small on-demand works, enabling households and organizations to find workers at the right time without unnecessary bureaucratic hassles and young job seekers to earn money and gain work experience.</t>
        </is>
      </c>
      <c r="G49" s="15" t="inlineStr">
        <is>
          <t>Information Technology</t>
        </is>
      </c>
      <c r="H49" s="16" t="inlineStr">
        <is>
          <t>Software</t>
        </is>
      </c>
      <c r="I49" s="17" t="inlineStr">
        <is>
          <t>Social/Platform Software</t>
        </is>
      </c>
      <c r="J49" s="18" t="inlineStr">
        <is>
          <t>Social/Platform Software*; Human Capital Services; Application Software</t>
        </is>
      </c>
      <c r="K49" s="19" t="inlineStr">
        <is>
          <t>Mobile</t>
        </is>
      </c>
      <c r="L49" s="20" t="inlineStr">
        <is>
          <t>Angel-Backed</t>
        </is>
      </c>
      <c r="M49" s="21" t="n">
        <v>1.0</v>
      </c>
      <c r="N49" s="22" t="inlineStr">
        <is>
          <t>Generating Revenue</t>
        </is>
      </c>
      <c r="O49" s="23" t="inlineStr">
        <is>
          <t>Privately Held (backing)</t>
        </is>
      </c>
      <c r="P49" s="24" t="inlineStr">
        <is>
          <t>Pre-venture</t>
        </is>
      </c>
      <c r="Q49" s="25" t="inlineStr">
        <is>
          <t>www.workpilots.fi</t>
        </is>
      </c>
      <c r="R49" s="26" t="n">
        <v>2.0</v>
      </c>
      <c r="S49" s="27" t="inlineStr">
        <is>
          <t/>
        </is>
      </c>
      <c r="T49" s="28" t="inlineStr">
        <is>
          <t/>
        </is>
      </c>
      <c r="U49" s="29" t="n">
        <v>2015.0</v>
      </c>
      <c r="V49" s="30" t="inlineStr">
        <is>
          <t/>
        </is>
      </c>
      <c r="W49" s="31" t="inlineStr">
        <is>
          <t/>
        </is>
      </c>
      <c r="X49" s="32" t="inlineStr">
        <is>
          <t/>
        </is>
      </c>
      <c r="Y49" s="33" t="inlineStr">
        <is>
          <t/>
        </is>
      </c>
      <c r="Z49" s="34" t="inlineStr">
        <is>
          <t/>
        </is>
      </c>
      <c r="AA49" s="35" t="inlineStr">
        <is>
          <t/>
        </is>
      </c>
      <c r="AB49" s="36" t="inlineStr">
        <is>
          <t/>
        </is>
      </c>
      <c r="AC49" s="37" t="inlineStr">
        <is>
          <t/>
        </is>
      </c>
      <c r="AD49" s="38" t="inlineStr">
        <is>
          <t/>
        </is>
      </c>
      <c r="AE49" s="39" t="inlineStr">
        <is>
          <t>172379-98P</t>
        </is>
      </c>
      <c r="AF49" s="40" t="inlineStr">
        <is>
          <t>Eija Kiviranta</t>
        </is>
      </c>
      <c r="AG49" s="41" t="inlineStr">
        <is>
          <t>Co-Founder &amp; Chief Enabling Officer</t>
        </is>
      </c>
      <c r="AH49" s="42" t="inlineStr">
        <is>
          <t>eija@workpilots.fi</t>
        </is>
      </c>
      <c r="AI49" s="43" t="inlineStr">
        <is>
          <t>+358 (0)40 709 0150</t>
        </is>
      </c>
      <c r="AJ49" s="44" t="inlineStr">
        <is>
          <t>Espoo, Finland</t>
        </is>
      </c>
      <c r="AK49" s="45" t="inlineStr">
        <is>
          <t>Innovation House, Tekniikantie 2</t>
        </is>
      </c>
      <c r="AL49" s="46" t="inlineStr">
        <is>
          <t>Otaniemi</t>
        </is>
      </c>
      <c r="AM49" s="47" t="inlineStr">
        <is>
          <t>Espoo</t>
        </is>
      </c>
      <c r="AN49" s="48" t="inlineStr">
        <is>
          <t/>
        </is>
      </c>
      <c r="AO49" s="49" t="inlineStr">
        <is>
          <t>02150</t>
        </is>
      </c>
      <c r="AP49" s="50" t="inlineStr">
        <is>
          <t>Finland</t>
        </is>
      </c>
      <c r="AQ49" s="51" t="inlineStr">
        <is>
          <t/>
        </is>
      </c>
      <c r="AR49" s="52" t="inlineStr">
        <is>
          <t/>
        </is>
      </c>
      <c r="AS49" s="53" t="inlineStr">
        <is>
          <t>info@workpilots.fi</t>
        </is>
      </c>
      <c r="AT49" s="54" t="inlineStr">
        <is>
          <t>Europe</t>
        </is>
      </c>
      <c r="AU49" s="55" t="inlineStr">
        <is>
          <t>Northern Europe</t>
        </is>
      </c>
      <c r="AV49" s="56" t="inlineStr">
        <is>
          <t>The company raised EUR 1 million of seed funding from ThorenGruppen, Daniel Johnsson and other undisclosed investors on September 18, 2017. The company plans to use the proceeds to develop the job-matching service further in Finland.</t>
        </is>
      </c>
      <c r="AW49" s="57" t="inlineStr">
        <is>
          <t>Daniel Johnsson, ThorenGruppen</t>
        </is>
      </c>
      <c r="AX49" s="58" t="n">
        <v>2.0</v>
      </c>
      <c r="AY49" s="59" t="inlineStr">
        <is>
          <t/>
        </is>
      </c>
      <c r="AZ49" s="60" t="inlineStr">
        <is>
          <t/>
        </is>
      </c>
      <c r="BA49" s="61" t="inlineStr">
        <is>
          <t/>
        </is>
      </c>
      <c r="BB49" s="62" t="inlineStr">
        <is>
          <t>ThorenGruppen (www.thorengruppen.se)</t>
        </is>
      </c>
      <c r="BC49" s="63" t="inlineStr">
        <is>
          <t/>
        </is>
      </c>
      <c r="BD49" s="64" t="inlineStr">
        <is>
          <t/>
        </is>
      </c>
      <c r="BE49" s="65" t="inlineStr">
        <is>
          <t/>
        </is>
      </c>
      <c r="BF49" s="66" t="inlineStr">
        <is>
          <t/>
        </is>
      </c>
      <c r="BG49" s="67" t="n">
        <v>42996.0</v>
      </c>
      <c r="BH49" s="68" t="n">
        <v>1.0</v>
      </c>
      <c r="BI49" s="69" t="inlineStr">
        <is>
          <t>Actual</t>
        </is>
      </c>
      <c r="BJ49" s="70" t="inlineStr">
        <is>
          <t/>
        </is>
      </c>
      <c r="BK49" s="71" t="inlineStr">
        <is>
          <t/>
        </is>
      </c>
      <c r="BL49" s="72" t="inlineStr">
        <is>
          <t>Seed Round</t>
        </is>
      </c>
      <c r="BM49" s="73" t="inlineStr">
        <is>
          <t>Seed</t>
        </is>
      </c>
      <c r="BN49" s="74" t="inlineStr">
        <is>
          <t/>
        </is>
      </c>
      <c r="BO49" s="75" t="inlineStr">
        <is>
          <t>Individual</t>
        </is>
      </c>
      <c r="BP49" s="76" t="inlineStr">
        <is>
          <t/>
        </is>
      </c>
      <c r="BQ49" s="77" t="inlineStr">
        <is>
          <t/>
        </is>
      </c>
      <c r="BR49" s="78" t="inlineStr">
        <is>
          <t/>
        </is>
      </c>
      <c r="BS49" s="79" t="inlineStr">
        <is>
          <t>Completed</t>
        </is>
      </c>
      <c r="BT49" s="80" t="n">
        <v>42996.0</v>
      </c>
      <c r="BU49" s="81" t="n">
        <v>1.0</v>
      </c>
      <c r="BV49" s="82" t="inlineStr">
        <is>
          <t>Actual</t>
        </is>
      </c>
      <c r="BW49" s="83" t="inlineStr">
        <is>
          <t/>
        </is>
      </c>
      <c r="BX49" s="84" t="inlineStr">
        <is>
          <t/>
        </is>
      </c>
      <c r="BY49" s="85" t="inlineStr">
        <is>
          <t>Seed Round</t>
        </is>
      </c>
      <c r="BZ49" s="86" t="inlineStr">
        <is>
          <t>Seed</t>
        </is>
      </c>
      <c r="CA49" s="87" t="inlineStr">
        <is>
          <t/>
        </is>
      </c>
      <c r="CB49" s="88" t="inlineStr">
        <is>
          <t>Individual</t>
        </is>
      </c>
      <c r="CC49" s="89" t="inlineStr">
        <is>
          <t/>
        </is>
      </c>
      <c r="CD49" s="90" t="inlineStr">
        <is>
          <t/>
        </is>
      </c>
      <c r="CE49" s="91" t="inlineStr">
        <is>
          <t/>
        </is>
      </c>
      <c r="CF49" s="92" t="inlineStr">
        <is>
          <t>Completed</t>
        </is>
      </c>
      <c r="CG49" s="93" t="inlineStr">
        <is>
          <t>0,92%</t>
        </is>
      </c>
      <c r="CH49" s="94" t="inlineStr">
        <is>
          <t>95</t>
        </is>
      </c>
      <c r="CI49" s="95" t="inlineStr">
        <is>
          <t>-0,05%</t>
        </is>
      </c>
      <c r="CJ49" s="96" t="inlineStr">
        <is>
          <t>-5,44%</t>
        </is>
      </c>
      <c r="CK49" s="97" t="inlineStr">
        <is>
          <t>0,28%</t>
        </is>
      </c>
      <c r="CL49" s="98" t="inlineStr">
        <is>
          <t>92</t>
        </is>
      </c>
      <c r="CM49" s="99" t="inlineStr">
        <is>
          <t>1,55%</t>
        </is>
      </c>
      <c r="CN49" s="100" t="inlineStr">
        <is>
          <t>98</t>
        </is>
      </c>
      <c r="CO49" s="101" t="inlineStr">
        <is>
          <t>0,57%</t>
        </is>
      </c>
      <c r="CP49" s="102" t="inlineStr">
        <is>
          <t>92</t>
        </is>
      </c>
      <c r="CQ49" s="103" t="inlineStr">
        <is>
          <t>0,00%</t>
        </is>
      </c>
      <c r="CR49" s="104" t="inlineStr">
        <is>
          <t>20</t>
        </is>
      </c>
      <c r="CS49" s="105" t="inlineStr">
        <is>
          <t>0,66%</t>
        </is>
      </c>
      <c r="CT49" s="106" t="inlineStr">
        <is>
          <t>90</t>
        </is>
      </c>
      <c r="CU49" s="107" t="inlineStr">
        <is>
          <t>2,44%</t>
        </is>
      </c>
      <c r="CV49" s="108" t="inlineStr">
        <is>
          <t>99</t>
        </is>
      </c>
      <c r="CW49" s="109" t="inlineStr">
        <is>
          <t>0,83x</t>
        </is>
      </c>
      <c r="CX49" s="110" t="inlineStr">
        <is>
          <t>44</t>
        </is>
      </c>
      <c r="CY49" s="111" t="inlineStr">
        <is>
          <t>0,01x</t>
        </is>
      </c>
      <c r="CZ49" s="112" t="inlineStr">
        <is>
          <t>1,65%</t>
        </is>
      </c>
      <c r="DA49" s="113" t="inlineStr">
        <is>
          <t>0,80x</t>
        </is>
      </c>
      <c r="DB49" s="114" t="inlineStr">
        <is>
          <t>46</t>
        </is>
      </c>
      <c r="DC49" s="115" t="inlineStr">
        <is>
          <t>0,85x</t>
        </is>
      </c>
      <c r="DD49" s="116" t="inlineStr">
        <is>
          <t>45</t>
        </is>
      </c>
      <c r="DE49" s="117" t="inlineStr">
        <is>
          <t>1,10x</t>
        </is>
      </c>
      <c r="DF49" s="118" t="inlineStr">
        <is>
          <t>53</t>
        </is>
      </c>
      <c r="DG49" s="119" t="inlineStr">
        <is>
          <t>0,50x</t>
        </is>
      </c>
      <c r="DH49" s="120" t="inlineStr">
        <is>
          <t>35</t>
        </is>
      </c>
      <c r="DI49" s="121" t="inlineStr">
        <is>
          <t>1,27x</t>
        </is>
      </c>
      <c r="DJ49" s="122" t="inlineStr">
        <is>
          <t>54</t>
        </is>
      </c>
      <c r="DK49" s="123" t="inlineStr">
        <is>
          <t>0,43x</t>
        </is>
      </c>
      <c r="DL49" s="124" t="inlineStr">
        <is>
          <t>35</t>
        </is>
      </c>
      <c r="DM49" s="125" t="inlineStr">
        <is>
          <t>474</t>
        </is>
      </c>
      <c r="DN49" s="126" t="inlineStr">
        <is>
          <t>-196</t>
        </is>
      </c>
      <c r="DO49" s="127" t="inlineStr">
        <is>
          <t>-29,25%</t>
        </is>
      </c>
      <c r="DP49" s="128" t="inlineStr">
        <is>
          <t>992</t>
        </is>
      </c>
      <c r="DQ49" s="129" t="inlineStr">
        <is>
          <t>9</t>
        </is>
      </c>
      <c r="DR49" s="130" t="inlineStr">
        <is>
          <t>0,92%</t>
        </is>
      </c>
      <c r="DS49" s="131" t="inlineStr">
        <is>
          <t>17</t>
        </is>
      </c>
      <c r="DT49" s="132" t="inlineStr">
        <is>
          <t>0</t>
        </is>
      </c>
      <c r="DU49" s="133" t="inlineStr">
        <is>
          <t>0,00%</t>
        </is>
      </c>
      <c r="DV49" s="134" t="inlineStr">
        <is>
          <t>160</t>
        </is>
      </c>
      <c r="DW49" s="135" t="inlineStr">
        <is>
          <t>4</t>
        </is>
      </c>
      <c r="DX49" s="136" t="inlineStr">
        <is>
          <t>2,56%</t>
        </is>
      </c>
      <c r="DY49" s="137" t="inlineStr">
        <is>
          <t>PitchBook Research</t>
        </is>
      </c>
      <c r="DZ49" s="785">
        <f>HYPERLINK("https://my.pitchbook.com?c=172420-84", "View company online")</f>
      </c>
    </row>
    <row r="50">
      <c r="A50" s="139" t="inlineStr">
        <is>
          <t>186847-48</t>
        </is>
      </c>
      <c r="B50" s="140" t="inlineStr">
        <is>
          <t>Sentinel Marine Solutions</t>
        </is>
      </c>
      <c r="C50" s="141" t="inlineStr">
        <is>
          <t/>
        </is>
      </c>
      <c r="D50" s="142" t="inlineStr">
        <is>
          <t>Sentinel</t>
        </is>
      </c>
      <c r="E50" s="143" t="inlineStr">
        <is>
          <t>186847-48</t>
        </is>
      </c>
      <c r="F50" s="144" t="inlineStr">
        <is>
          <t>Provider of online boat monitoring devices and vital onboard systems intended to overview and control boat position. The company's boat monitoring devices track GPS position and automatically record journey log, receive notifications in case of the unauthorized access or movement of the boat, monitor each boat location, its batteries and usage information, enabling boat rental businesses and private boat owners to solve boat maintenance and logistics problem.</t>
        </is>
      </c>
      <c r="G50" s="145" t="inlineStr">
        <is>
          <t>Consumer Products and Services (B2C)</t>
        </is>
      </c>
      <c r="H50" s="146" t="inlineStr">
        <is>
          <t>Retail</t>
        </is>
      </c>
      <c r="I50" s="147" t="inlineStr">
        <is>
          <t>Internet Retail</t>
        </is>
      </c>
      <c r="J50" s="148" t="inlineStr">
        <is>
          <t>Internet Retail*; Other Consumer Products and Services</t>
        </is>
      </c>
      <c r="K50" s="149" t="inlineStr">
        <is>
          <t>E-Commerce, Mobile</t>
        </is>
      </c>
      <c r="L50" s="150" t="inlineStr">
        <is>
          <t>Venture Capital-Backed</t>
        </is>
      </c>
      <c r="M50" s="151" t="n">
        <v>1.0</v>
      </c>
      <c r="N50" s="152" t="inlineStr">
        <is>
          <t>Generating Revenue</t>
        </is>
      </c>
      <c r="O50" s="153" t="inlineStr">
        <is>
          <t>Privately Held (backing)</t>
        </is>
      </c>
      <c r="P50" s="154" t="inlineStr">
        <is>
          <t>Venture Capital</t>
        </is>
      </c>
      <c r="Q50" s="155" t="inlineStr">
        <is>
          <t>www.sentinelmarine.net</t>
        </is>
      </c>
      <c r="R50" s="156" t="n">
        <v>10.0</v>
      </c>
      <c r="S50" s="157" t="inlineStr">
        <is>
          <t/>
        </is>
      </c>
      <c r="T50" s="158" t="inlineStr">
        <is>
          <t/>
        </is>
      </c>
      <c r="U50" s="159" t="n">
        <v>2014.0</v>
      </c>
      <c r="V50" s="160" t="inlineStr">
        <is>
          <t/>
        </is>
      </c>
      <c r="W50" s="161" t="inlineStr">
        <is>
          <t/>
        </is>
      </c>
      <c r="X50" s="162" t="inlineStr">
        <is>
          <t/>
        </is>
      </c>
      <c r="Y50" s="163" t="inlineStr">
        <is>
          <t/>
        </is>
      </c>
      <c r="Z50" s="164" t="inlineStr">
        <is>
          <t/>
        </is>
      </c>
      <c r="AA50" s="165" t="inlineStr">
        <is>
          <t/>
        </is>
      </c>
      <c r="AB50" s="166" t="inlineStr">
        <is>
          <t/>
        </is>
      </c>
      <c r="AC50" s="167" t="inlineStr">
        <is>
          <t/>
        </is>
      </c>
      <c r="AD50" s="168" t="inlineStr">
        <is>
          <t/>
        </is>
      </c>
      <c r="AE50" s="169" t="inlineStr">
        <is>
          <t>172267-03P</t>
        </is>
      </c>
      <c r="AF50" s="170" t="inlineStr">
        <is>
          <t>Gregor Pipan</t>
        </is>
      </c>
      <c r="AG50" s="171" t="inlineStr">
        <is>
          <t>Co-Founder</t>
        </is>
      </c>
      <c r="AH50" s="172" t="inlineStr">
        <is>
          <t>gregor@sentinelmarine.net</t>
        </is>
      </c>
      <c r="AI50" s="173" t="inlineStr">
        <is>
          <t/>
        </is>
      </c>
      <c r="AJ50" s="174" t="inlineStr">
        <is>
          <t>Vodnjan, Croatia</t>
        </is>
      </c>
      <c r="AK50" s="175" t="inlineStr">
        <is>
          <t>Peroj 389</t>
        </is>
      </c>
      <c r="AL50" s="176" t="inlineStr">
        <is>
          <t/>
        </is>
      </c>
      <c r="AM50" s="177" t="inlineStr">
        <is>
          <t>Vodnjan</t>
        </is>
      </c>
      <c r="AN50" s="178" t="inlineStr">
        <is>
          <t/>
        </is>
      </c>
      <c r="AO50" s="179" t="inlineStr">
        <is>
          <t/>
        </is>
      </c>
      <c r="AP50" s="180" t="inlineStr">
        <is>
          <t>Croatia</t>
        </is>
      </c>
      <c r="AQ50" s="181" t="inlineStr">
        <is>
          <t/>
        </is>
      </c>
      <c r="AR50" s="182" t="inlineStr">
        <is>
          <t/>
        </is>
      </c>
      <c r="AS50" s="183" t="inlineStr">
        <is>
          <t>info@sentinelmarine.net</t>
        </is>
      </c>
      <c r="AT50" s="184" t="inlineStr">
        <is>
          <t>Europe</t>
        </is>
      </c>
      <c r="AU50" s="185" t="inlineStr">
        <is>
          <t>Southern Europe</t>
        </is>
      </c>
      <c r="AV50" s="186" t="inlineStr">
        <is>
          <t>The company raised EUR 1 million of venture funding from South Central Ventures and Matej Tomažin on October 4, 2017. The company will use the funds to further develop their services and to expand to other markets and strengthen their move to the consumer market.</t>
        </is>
      </c>
      <c r="AW50" s="187" t="inlineStr">
        <is>
          <t>Impact Accelerator, Matej Tomažin, South Central Ventures</t>
        </is>
      </c>
      <c r="AX50" s="188" t="n">
        <v>3.0</v>
      </c>
      <c r="AY50" s="189" t="inlineStr">
        <is>
          <t/>
        </is>
      </c>
      <c r="AZ50" s="190" t="inlineStr">
        <is>
          <t/>
        </is>
      </c>
      <c r="BA50" s="191" t="inlineStr">
        <is>
          <t/>
        </is>
      </c>
      <c r="BB50" s="192" t="inlineStr">
        <is>
          <t>Impact Accelerator (www.impact-accelerator.com), South Central Ventures (www.sc-ventures.com)</t>
        </is>
      </c>
      <c r="BC50" s="193" t="inlineStr">
        <is>
          <t/>
        </is>
      </c>
      <c r="BD50" s="194" t="inlineStr">
        <is>
          <t/>
        </is>
      </c>
      <c r="BE50" s="195" t="inlineStr">
        <is>
          <t/>
        </is>
      </c>
      <c r="BF50" s="196" t="inlineStr">
        <is>
          <t/>
        </is>
      </c>
      <c r="BG50" s="197" t="n">
        <v>42248.0</v>
      </c>
      <c r="BH50" s="198" t="inlineStr">
        <is>
          <t/>
        </is>
      </c>
      <c r="BI50" s="199" t="inlineStr">
        <is>
          <t/>
        </is>
      </c>
      <c r="BJ50" s="200" t="inlineStr">
        <is>
          <t/>
        </is>
      </c>
      <c r="BK50" s="201" t="inlineStr">
        <is>
          <t/>
        </is>
      </c>
      <c r="BL50" s="202" t="inlineStr">
        <is>
          <t>Accelerator/Incubator</t>
        </is>
      </c>
      <c r="BM50" s="203" t="inlineStr">
        <is>
          <t/>
        </is>
      </c>
      <c r="BN50" s="204" t="inlineStr">
        <is>
          <t/>
        </is>
      </c>
      <c r="BO50" s="205" t="inlineStr">
        <is>
          <t>Other</t>
        </is>
      </c>
      <c r="BP50" s="206" t="inlineStr">
        <is>
          <t/>
        </is>
      </c>
      <c r="BQ50" s="207" t="inlineStr">
        <is>
          <t/>
        </is>
      </c>
      <c r="BR50" s="208" t="inlineStr">
        <is>
          <t/>
        </is>
      </c>
      <c r="BS50" s="209" t="inlineStr">
        <is>
          <t>Completed</t>
        </is>
      </c>
      <c r="BT50" s="210" t="n">
        <v>43012.0</v>
      </c>
      <c r="BU50" s="211" t="n">
        <v>1.0</v>
      </c>
      <c r="BV50" s="212" t="inlineStr">
        <is>
          <t>Actual</t>
        </is>
      </c>
      <c r="BW50" s="213" t="inlineStr">
        <is>
          <t/>
        </is>
      </c>
      <c r="BX50" s="214" t="inlineStr">
        <is>
          <t/>
        </is>
      </c>
      <c r="BY50" s="215" t="inlineStr">
        <is>
          <t>Early Stage VC</t>
        </is>
      </c>
      <c r="BZ50" s="216" t="inlineStr">
        <is>
          <t/>
        </is>
      </c>
      <c r="CA50" s="217" t="inlineStr">
        <is>
          <t/>
        </is>
      </c>
      <c r="CB50" s="218" t="inlineStr">
        <is>
          <t>Venture Capital</t>
        </is>
      </c>
      <c r="CC50" s="219" t="inlineStr">
        <is>
          <t/>
        </is>
      </c>
      <c r="CD50" s="220" t="inlineStr">
        <is>
          <t/>
        </is>
      </c>
      <c r="CE50" s="221" t="inlineStr">
        <is>
          <t/>
        </is>
      </c>
      <c r="CF50" s="222" t="inlineStr">
        <is>
          <t>Completed</t>
        </is>
      </c>
      <c r="CG50" s="223" t="inlineStr">
        <is>
          <t>2,69%</t>
        </is>
      </c>
      <c r="CH50" s="224" t="inlineStr">
        <is>
          <t>99</t>
        </is>
      </c>
      <c r="CI50" s="225" t="inlineStr">
        <is>
          <t/>
        </is>
      </c>
      <c r="CJ50" s="226" t="inlineStr">
        <is>
          <t/>
        </is>
      </c>
      <c r="CK50" s="227" t="inlineStr">
        <is>
          <t>4,60%</t>
        </is>
      </c>
      <c r="CL50" s="228" t="inlineStr">
        <is>
          <t>99</t>
        </is>
      </c>
      <c r="CM50" s="229" t="inlineStr">
        <is>
          <t>0,77%</t>
        </is>
      </c>
      <c r="CN50" s="230" t="inlineStr">
        <is>
          <t>94</t>
        </is>
      </c>
      <c r="CO50" s="231" t="inlineStr">
        <is>
          <t/>
        </is>
      </c>
      <c r="CP50" s="232" t="inlineStr">
        <is>
          <t/>
        </is>
      </c>
      <c r="CQ50" s="233" t="inlineStr">
        <is>
          <t>4,60%</t>
        </is>
      </c>
      <c r="CR50" s="234" t="inlineStr">
        <is>
          <t>98</t>
        </is>
      </c>
      <c r="CS50" s="235" t="inlineStr">
        <is>
          <t>1,46%</t>
        </is>
      </c>
      <c r="CT50" s="236" t="inlineStr">
        <is>
          <t>97</t>
        </is>
      </c>
      <c r="CU50" s="237" t="inlineStr">
        <is>
          <t>0,08%</t>
        </is>
      </c>
      <c r="CV50" s="238" t="inlineStr">
        <is>
          <t>63</t>
        </is>
      </c>
      <c r="CW50" s="239" t="inlineStr">
        <is>
          <t>2,62x</t>
        </is>
      </c>
      <c r="CX50" s="240" t="inlineStr">
        <is>
          <t>70</t>
        </is>
      </c>
      <c r="CY50" s="241" t="inlineStr">
        <is>
          <t/>
        </is>
      </c>
      <c r="CZ50" s="242" t="inlineStr">
        <is>
          <t/>
        </is>
      </c>
      <c r="DA50" s="243" t="inlineStr">
        <is>
          <t>4,22x</t>
        </is>
      </c>
      <c r="DB50" s="244" t="inlineStr">
        <is>
          <t>79</t>
        </is>
      </c>
      <c r="DC50" s="245" t="inlineStr">
        <is>
          <t>1,02x</t>
        </is>
      </c>
      <c r="DD50" s="246" t="inlineStr">
        <is>
          <t>49</t>
        </is>
      </c>
      <c r="DE50" s="247" t="inlineStr">
        <is>
          <t/>
        </is>
      </c>
      <c r="DF50" s="248" t="inlineStr">
        <is>
          <t/>
        </is>
      </c>
      <c r="DG50" s="249" t="inlineStr">
        <is>
          <t>4,22x</t>
        </is>
      </c>
      <c r="DH50" s="250" t="inlineStr">
        <is>
          <t>77</t>
        </is>
      </c>
      <c r="DI50" s="251" t="inlineStr">
        <is>
          <t>0,51x</t>
        </is>
      </c>
      <c r="DJ50" s="252" t="inlineStr">
        <is>
          <t>39</t>
        </is>
      </c>
      <c r="DK50" s="253" t="inlineStr">
        <is>
          <t>1,53x</t>
        </is>
      </c>
      <c r="DL50" s="254" t="inlineStr">
        <is>
          <t>59</t>
        </is>
      </c>
      <c r="DM50" s="255" t="inlineStr">
        <is>
          <t/>
        </is>
      </c>
      <c r="DN50" s="256" t="inlineStr">
        <is>
          <t/>
        </is>
      </c>
      <c r="DO50" s="257" t="inlineStr">
        <is>
          <t/>
        </is>
      </c>
      <c r="DP50" s="258" t="inlineStr">
        <is>
          <t>406</t>
        </is>
      </c>
      <c r="DQ50" s="259" t="inlineStr">
        <is>
          <t>0</t>
        </is>
      </c>
      <c r="DR50" s="260" t="inlineStr">
        <is>
          <t>0,00%</t>
        </is>
      </c>
      <c r="DS50" s="261" t="inlineStr">
        <is>
          <t>134</t>
        </is>
      </c>
      <c r="DT50" s="262" t="inlineStr">
        <is>
          <t>27</t>
        </is>
      </c>
      <c r="DU50" s="263" t="inlineStr">
        <is>
          <t>25,23%</t>
        </is>
      </c>
      <c r="DV50" s="264" t="inlineStr">
        <is>
          <t>569</t>
        </is>
      </c>
      <c r="DW50" s="265" t="inlineStr">
        <is>
          <t>-1</t>
        </is>
      </c>
      <c r="DX50" s="266" t="inlineStr">
        <is>
          <t>-0,18%</t>
        </is>
      </c>
      <c r="DY50" s="267" t="inlineStr">
        <is>
          <t>PitchBook Research</t>
        </is>
      </c>
      <c r="DZ50" s="786">
        <f>HYPERLINK("https://my.pitchbook.com?c=186847-48", "View company online")</f>
      </c>
    </row>
    <row r="51">
      <c r="A51" s="9" t="inlineStr">
        <is>
          <t>187455-43</t>
        </is>
      </c>
      <c r="B51" s="10" t="inlineStr">
        <is>
          <t>TankYou</t>
        </is>
      </c>
      <c r="C51" s="11" t="inlineStr">
        <is>
          <t/>
        </is>
      </c>
      <c r="D51" s="12" t="inlineStr">
        <is>
          <t/>
        </is>
      </c>
      <c r="E51" s="13" t="inlineStr">
        <is>
          <t>187455-43</t>
        </is>
      </c>
      <c r="F51" s="14" t="inlineStr">
        <is>
          <t>Provider of an on-demand fuel delivery service intended to eliminate the need to visit gas stations. The company's fuel delivery service offer deliveries of diesel, premium diesel, SP95, SP95 E10 and SP98, charging a service fee which ranges from € 0 to € 8 and their vehicles are equipped with special equipment for fuel distribution with accordance to the ADR regulations, enabling businesses, administrations and individuals to simply order from Web, phone or mobile application at their convenient place and time.</t>
        </is>
      </c>
      <c r="G51" s="15" t="inlineStr">
        <is>
          <t>Business Products and Services (B2B)</t>
        </is>
      </c>
      <c r="H51" s="16" t="inlineStr">
        <is>
          <t>Commercial Services</t>
        </is>
      </c>
      <c r="I51" s="17" t="inlineStr">
        <is>
          <t>Logistics</t>
        </is>
      </c>
      <c r="J51" s="18" t="inlineStr">
        <is>
          <t>Logistics*; Application Software</t>
        </is>
      </c>
      <c r="K51" s="19" t="inlineStr">
        <is>
          <t>Mobile</t>
        </is>
      </c>
      <c r="L51" s="20" t="inlineStr">
        <is>
          <t>Accelerator/Incubator Backed</t>
        </is>
      </c>
      <c r="M51" s="21" t="n">
        <v>1.0</v>
      </c>
      <c r="N51" s="22" t="inlineStr">
        <is>
          <t>Generating Revenue</t>
        </is>
      </c>
      <c r="O51" s="23" t="inlineStr">
        <is>
          <t>Privately Held (backing)</t>
        </is>
      </c>
      <c r="P51" s="24" t="inlineStr">
        <is>
          <t>Pre-venture</t>
        </is>
      </c>
      <c r="Q51" s="25" t="inlineStr">
        <is>
          <t>www.tankyou.co</t>
        </is>
      </c>
      <c r="R51" s="26" t="inlineStr">
        <is>
          <t/>
        </is>
      </c>
      <c r="S51" s="27" t="inlineStr">
        <is>
          <t/>
        </is>
      </c>
      <c r="T51" s="28" t="inlineStr">
        <is>
          <t/>
        </is>
      </c>
      <c r="U51" s="29" t="inlineStr">
        <is>
          <t/>
        </is>
      </c>
      <c r="V51" s="30" t="inlineStr">
        <is>
          <t/>
        </is>
      </c>
      <c r="W51" s="31" t="inlineStr">
        <is>
          <t/>
        </is>
      </c>
      <c r="X51" s="32" t="inlineStr">
        <is>
          <t/>
        </is>
      </c>
      <c r="Y51" s="33" t="inlineStr">
        <is>
          <t/>
        </is>
      </c>
      <c r="Z51" s="34" t="inlineStr">
        <is>
          <t/>
        </is>
      </c>
      <c r="AA51" s="35" t="inlineStr">
        <is>
          <t/>
        </is>
      </c>
      <c r="AB51" s="36" t="inlineStr">
        <is>
          <t/>
        </is>
      </c>
      <c r="AC51" s="37" t="inlineStr">
        <is>
          <t/>
        </is>
      </c>
      <c r="AD51" s="38" t="inlineStr">
        <is>
          <t/>
        </is>
      </c>
      <c r="AE51" s="39" t="inlineStr">
        <is>
          <t>172175-05P</t>
        </is>
      </c>
      <c r="AF51" s="40" t="inlineStr">
        <is>
          <t>Antoine Roussel</t>
        </is>
      </c>
      <c r="AG51" s="41" t="inlineStr">
        <is>
          <t>Co-Founder</t>
        </is>
      </c>
      <c r="AH51" s="42" t="inlineStr">
        <is>
          <t>antoine@tankyou.co</t>
        </is>
      </c>
      <c r="AI51" s="43" t="inlineStr">
        <is>
          <t>+39 01 8676 0888</t>
        </is>
      </c>
      <c r="AJ51" s="44" t="inlineStr">
        <is>
          <t>Paris, Italy</t>
        </is>
      </c>
      <c r="AK51" s="45" t="inlineStr">
        <is>
          <t/>
        </is>
      </c>
      <c r="AL51" s="46" t="inlineStr">
        <is>
          <t/>
        </is>
      </c>
      <c r="AM51" s="47" t="inlineStr">
        <is>
          <t>Paris</t>
        </is>
      </c>
      <c r="AN51" s="48" t="inlineStr">
        <is>
          <t/>
        </is>
      </c>
      <c r="AO51" s="49" t="inlineStr">
        <is>
          <t/>
        </is>
      </c>
      <c r="AP51" s="50" t="inlineStr">
        <is>
          <t>Italy</t>
        </is>
      </c>
      <c r="AQ51" s="51" t="inlineStr">
        <is>
          <t>+39 01 8676 0888</t>
        </is>
      </c>
      <c r="AR51" s="52" t="inlineStr">
        <is>
          <t/>
        </is>
      </c>
      <c r="AS51" s="53" t="inlineStr">
        <is>
          <t>contact@tankyou.co</t>
        </is>
      </c>
      <c r="AT51" s="54" t="inlineStr">
        <is>
          <t>Europe</t>
        </is>
      </c>
      <c r="AU51" s="55" t="inlineStr">
        <is>
          <t>Southern Europe</t>
        </is>
      </c>
      <c r="AV51" s="56" t="inlineStr">
        <is>
          <t>The company raised EUR 1 million of angel funding from David Amsellem, Grégoire Lassale and other undisclosed investors on September 27, 2017.</t>
        </is>
      </c>
      <c r="AW51" s="57" t="inlineStr">
        <is>
          <t>David Amsellem, Grégoire Lassale, Paris&amp;Co Incubateurs</t>
        </is>
      </c>
      <c r="AX51" s="58" t="n">
        <v>3.0</v>
      </c>
      <c r="AY51" s="59" t="inlineStr">
        <is>
          <t/>
        </is>
      </c>
      <c r="AZ51" s="60" t="inlineStr">
        <is>
          <t/>
        </is>
      </c>
      <c r="BA51" s="61" t="inlineStr">
        <is>
          <t/>
        </is>
      </c>
      <c r="BB51" s="62" t="inlineStr">
        <is>
          <t>Paris&amp;Co Incubateurs (www.incubateurs.parisandco.com)</t>
        </is>
      </c>
      <c r="BC51" s="63" t="inlineStr">
        <is>
          <t/>
        </is>
      </c>
      <c r="BD51" s="64" t="inlineStr">
        <is>
          <t/>
        </is>
      </c>
      <c r="BE51" s="65" t="inlineStr">
        <is>
          <t/>
        </is>
      </c>
      <c r="BF51" s="66" t="inlineStr">
        <is>
          <t/>
        </is>
      </c>
      <c r="BG51" s="67" t="n">
        <v>42897.0</v>
      </c>
      <c r="BH51" s="68" t="inlineStr">
        <is>
          <t/>
        </is>
      </c>
      <c r="BI51" s="69" t="inlineStr">
        <is>
          <t/>
        </is>
      </c>
      <c r="BJ51" s="70" t="inlineStr">
        <is>
          <t/>
        </is>
      </c>
      <c r="BK51" s="71" t="inlineStr">
        <is>
          <t/>
        </is>
      </c>
      <c r="BL51" s="72" t="inlineStr">
        <is>
          <t>Accelerator/Incubator</t>
        </is>
      </c>
      <c r="BM51" s="73" t="inlineStr">
        <is>
          <t/>
        </is>
      </c>
      <c r="BN51" s="74" t="inlineStr">
        <is>
          <t/>
        </is>
      </c>
      <c r="BO51" s="75" t="inlineStr">
        <is>
          <t>Other</t>
        </is>
      </c>
      <c r="BP51" s="76" t="inlineStr">
        <is>
          <t/>
        </is>
      </c>
      <c r="BQ51" s="77" t="inlineStr">
        <is>
          <t/>
        </is>
      </c>
      <c r="BR51" s="78" t="inlineStr">
        <is>
          <t/>
        </is>
      </c>
      <c r="BS51" s="79" t="inlineStr">
        <is>
          <t>Completed</t>
        </is>
      </c>
      <c r="BT51" s="80" t="n">
        <v>43005.0</v>
      </c>
      <c r="BU51" s="81" t="n">
        <v>1.0</v>
      </c>
      <c r="BV51" s="82" t="inlineStr">
        <is>
          <t>Actual</t>
        </is>
      </c>
      <c r="BW51" s="83" t="inlineStr">
        <is>
          <t/>
        </is>
      </c>
      <c r="BX51" s="84" t="inlineStr">
        <is>
          <t/>
        </is>
      </c>
      <c r="BY51" s="85" t="inlineStr">
        <is>
          <t>Angel (individual)</t>
        </is>
      </c>
      <c r="BZ51" s="86" t="inlineStr">
        <is>
          <t>Angel</t>
        </is>
      </c>
      <c r="CA51" s="87" t="inlineStr">
        <is>
          <t/>
        </is>
      </c>
      <c r="CB51" s="88" t="inlineStr">
        <is>
          <t>Individual</t>
        </is>
      </c>
      <c r="CC51" s="89" t="inlineStr">
        <is>
          <t/>
        </is>
      </c>
      <c r="CD51" s="90" t="inlineStr">
        <is>
          <t/>
        </is>
      </c>
      <c r="CE51" s="91" t="inlineStr">
        <is>
          <t/>
        </is>
      </c>
      <c r="CF51" s="92" t="inlineStr">
        <is>
          <t>Completed</t>
        </is>
      </c>
      <c r="CG51" s="93" t="inlineStr">
        <is>
          <t>0,31%</t>
        </is>
      </c>
      <c r="CH51" s="94" t="inlineStr">
        <is>
          <t>89</t>
        </is>
      </c>
      <c r="CI51" s="95" t="inlineStr">
        <is>
          <t/>
        </is>
      </c>
      <c r="CJ51" s="96" t="inlineStr">
        <is>
          <t/>
        </is>
      </c>
      <c r="CK51" s="97" t="inlineStr">
        <is>
          <t>0,00%</t>
        </is>
      </c>
      <c r="CL51" s="98" t="inlineStr">
        <is>
          <t>28</t>
        </is>
      </c>
      <c r="CM51" s="99" t="inlineStr">
        <is>
          <t>0,63%</t>
        </is>
      </c>
      <c r="CN51" s="100" t="inlineStr">
        <is>
          <t>92</t>
        </is>
      </c>
      <c r="CO51" s="101" t="inlineStr">
        <is>
          <t/>
        </is>
      </c>
      <c r="CP51" s="102" t="inlineStr">
        <is>
          <t/>
        </is>
      </c>
      <c r="CQ51" s="103" t="inlineStr">
        <is>
          <t>0,00%</t>
        </is>
      </c>
      <c r="CR51" s="104" t="inlineStr">
        <is>
          <t>20</t>
        </is>
      </c>
      <c r="CS51" s="105" t="inlineStr">
        <is>
          <t>0,43%</t>
        </is>
      </c>
      <c r="CT51" s="106" t="inlineStr">
        <is>
          <t>84</t>
        </is>
      </c>
      <c r="CU51" s="107" t="inlineStr">
        <is>
          <t>0,83%</t>
        </is>
      </c>
      <c r="CV51" s="108" t="inlineStr">
        <is>
          <t>96</t>
        </is>
      </c>
      <c r="CW51" s="109" t="inlineStr">
        <is>
          <t>0,49x</t>
        </is>
      </c>
      <c r="CX51" s="110" t="inlineStr">
        <is>
          <t>32</t>
        </is>
      </c>
      <c r="CY51" s="111" t="inlineStr">
        <is>
          <t/>
        </is>
      </c>
      <c r="CZ51" s="112" t="inlineStr">
        <is>
          <t/>
        </is>
      </c>
      <c r="DA51" s="113" t="inlineStr">
        <is>
          <t>0,33x</t>
        </is>
      </c>
      <c r="DB51" s="114" t="inlineStr">
        <is>
          <t>26</t>
        </is>
      </c>
      <c r="DC51" s="115" t="inlineStr">
        <is>
          <t>0,65x</t>
        </is>
      </c>
      <c r="DD51" s="116" t="inlineStr">
        <is>
          <t>40</t>
        </is>
      </c>
      <c r="DE51" s="117" t="inlineStr">
        <is>
          <t/>
        </is>
      </c>
      <c r="DF51" s="118" t="inlineStr">
        <is>
          <t/>
        </is>
      </c>
      <c r="DG51" s="119" t="inlineStr">
        <is>
          <t>0,33x</t>
        </is>
      </c>
      <c r="DH51" s="120" t="inlineStr">
        <is>
          <t>27</t>
        </is>
      </c>
      <c r="DI51" s="121" t="inlineStr">
        <is>
          <t>0,91x</t>
        </is>
      </c>
      <c r="DJ51" s="122" t="inlineStr">
        <is>
          <t>49</t>
        </is>
      </c>
      <c r="DK51" s="123" t="inlineStr">
        <is>
          <t>0,39x</t>
        </is>
      </c>
      <c r="DL51" s="124" t="inlineStr">
        <is>
          <t>34</t>
        </is>
      </c>
      <c r="DM51" s="125" t="inlineStr">
        <is>
          <t/>
        </is>
      </c>
      <c r="DN51" s="126" t="inlineStr">
        <is>
          <t/>
        </is>
      </c>
      <c r="DO51" s="127" t="inlineStr">
        <is>
          <t/>
        </is>
      </c>
      <c r="DP51" s="128" t="inlineStr">
        <is>
          <t>714</t>
        </is>
      </c>
      <c r="DQ51" s="129" t="inlineStr">
        <is>
          <t>0</t>
        </is>
      </c>
      <c r="DR51" s="130" t="inlineStr">
        <is>
          <t>0,00%</t>
        </is>
      </c>
      <c r="DS51" s="131" t="inlineStr">
        <is>
          <t>12</t>
        </is>
      </c>
      <c r="DT51" s="132" t="inlineStr">
        <is>
          <t>0</t>
        </is>
      </c>
      <c r="DU51" s="133" t="inlineStr">
        <is>
          <t>0,00%</t>
        </is>
      </c>
      <c r="DV51" s="134" t="inlineStr">
        <is>
          <t>146</t>
        </is>
      </c>
      <c r="DW51" s="135" t="inlineStr">
        <is>
          <t>2</t>
        </is>
      </c>
      <c r="DX51" s="136" t="inlineStr">
        <is>
          <t>1,39%</t>
        </is>
      </c>
      <c r="DY51" s="137" t="inlineStr">
        <is>
          <t>PitchBook Research</t>
        </is>
      </c>
      <c r="DZ51" s="785">
        <f>HYPERLINK("https://my.pitchbook.com?c=187455-43", "View company online")</f>
      </c>
    </row>
    <row r="52">
      <c r="A52" s="139" t="inlineStr">
        <is>
          <t>187995-25</t>
        </is>
      </c>
      <c r="B52" s="140" t="inlineStr">
        <is>
          <t>TransFICC</t>
        </is>
      </c>
      <c r="C52" s="141" t="inlineStr">
        <is>
          <t/>
        </is>
      </c>
      <c r="D52" s="142" t="inlineStr">
        <is>
          <t/>
        </is>
      </c>
      <c r="E52" s="143" t="inlineStr">
        <is>
          <t>187995-25</t>
        </is>
      </c>
      <c r="F52" s="144" t="inlineStr">
        <is>
          <t>Provider of an eTrading platform intended to offer services for the fixed income and derivative markets. The company's eTrading platform helps in translating APIs from multiple fixed income and derivative venues, enabling its clients to receive cloud-based hosting services required to support microsecond timestamping of data and a full audit trail.</t>
        </is>
      </c>
      <c r="G52" s="145" t="inlineStr">
        <is>
          <t>Financial Services</t>
        </is>
      </c>
      <c r="H52" s="146" t="inlineStr">
        <is>
          <t>Other Financial Services</t>
        </is>
      </c>
      <c r="I52" s="147" t="inlineStr">
        <is>
          <t>Other Financial Services</t>
        </is>
      </c>
      <c r="J52" s="148" t="inlineStr">
        <is>
          <t>Other Financial Services*; Application Software; Financial Software</t>
        </is>
      </c>
      <c r="K52" s="149" t="inlineStr">
        <is>
          <t>FinTech, SaaS</t>
        </is>
      </c>
      <c r="L52" s="150" t="inlineStr">
        <is>
          <t>Venture Capital-Backed</t>
        </is>
      </c>
      <c r="M52" s="151" t="n">
        <v>1.0</v>
      </c>
      <c r="N52" s="152" t="inlineStr">
        <is>
          <t>Generating Revenue</t>
        </is>
      </c>
      <c r="O52" s="153" t="inlineStr">
        <is>
          <t>Privately Held (backing)</t>
        </is>
      </c>
      <c r="P52" s="154" t="inlineStr">
        <is>
          <t>Venture Capital</t>
        </is>
      </c>
      <c r="Q52" s="155" t="inlineStr">
        <is>
          <t>www.transficc.com</t>
        </is>
      </c>
      <c r="R52" s="156" t="inlineStr">
        <is>
          <t/>
        </is>
      </c>
      <c r="S52" s="157" t="inlineStr">
        <is>
          <t/>
        </is>
      </c>
      <c r="T52" s="158" t="inlineStr">
        <is>
          <t/>
        </is>
      </c>
      <c r="U52" s="159" t="n">
        <v>2016.0</v>
      </c>
      <c r="V52" s="160" t="inlineStr">
        <is>
          <t/>
        </is>
      </c>
      <c r="W52" s="161" t="inlineStr">
        <is>
          <t/>
        </is>
      </c>
      <c r="X52" s="162" t="inlineStr">
        <is>
          <t/>
        </is>
      </c>
      <c r="Y52" s="163" t="inlineStr">
        <is>
          <t/>
        </is>
      </c>
      <c r="Z52" s="164" t="inlineStr">
        <is>
          <t/>
        </is>
      </c>
      <c r="AA52" s="165" t="inlineStr">
        <is>
          <t/>
        </is>
      </c>
      <c r="AB52" s="166" t="inlineStr">
        <is>
          <t/>
        </is>
      </c>
      <c r="AC52" s="167" t="inlineStr">
        <is>
          <t/>
        </is>
      </c>
      <c r="AD52" s="168" t="inlineStr">
        <is>
          <t/>
        </is>
      </c>
      <c r="AE52" s="169" t="inlineStr">
        <is>
          <t>95498-02P</t>
        </is>
      </c>
      <c r="AF52" s="170" t="inlineStr">
        <is>
          <t>Steve Toland</t>
        </is>
      </c>
      <c r="AG52" s="171" t="inlineStr">
        <is>
          <t>Co-Founder</t>
        </is>
      </c>
      <c r="AH52" s="172" t="inlineStr">
        <is>
          <t>steve.toland@transficc.com</t>
        </is>
      </c>
      <c r="AI52" s="173" t="inlineStr">
        <is>
          <t>+44 (0)20 3239 9993</t>
        </is>
      </c>
      <c r="AJ52" s="174" t="inlineStr">
        <is>
          <t>London, United Kingdom</t>
        </is>
      </c>
      <c r="AK52" s="175" t="inlineStr">
        <is>
          <t>1 Primrose Street</t>
        </is>
      </c>
      <c r="AL52" s="176" t="inlineStr">
        <is>
          <t/>
        </is>
      </c>
      <c r="AM52" s="177" t="inlineStr">
        <is>
          <t>London</t>
        </is>
      </c>
      <c r="AN52" s="178" t="inlineStr">
        <is>
          <t>England</t>
        </is>
      </c>
      <c r="AO52" s="179" t="inlineStr">
        <is>
          <t>EC2A 2EX</t>
        </is>
      </c>
      <c r="AP52" s="180" t="inlineStr">
        <is>
          <t>United Kingdom</t>
        </is>
      </c>
      <c r="AQ52" s="181" t="inlineStr">
        <is>
          <t>+44 (0)20 3239 9993</t>
        </is>
      </c>
      <c r="AR52" s="182" t="inlineStr">
        <is>
          <t/>
        </is>
      </c>
      <c r="AS52" s="183" t="inlineStr">
        <is>
          <t>info@transficc.com</t>
        </is>
      </c>
      <c r="AT52" s="184" t="inlineStr">
        <is>
          <t>Europe</t>
        </is>
      </c>
      <c r="AU52" s="185" t="inlineStr">
        <is>
          <t>Western Europe</t>
        </is>
      </c>
      <c r="AV52" s="186" t="inlineStr">
        <is>
          <t>The company raised EUR 1 million of venture funding from lluminate Financial Management and Main Incubator on October 11, 2017.</t>
        </is>
      </c>
      <c r="AW52" s="187" t="inlineStr">
        <is>
          <t>FinLab Accelerator, Illuminate Financial Management, Main Incubator</t>
        </is>
      </c>
      <c r="AX52" s="188" t="n">
        <v>3.0</v>
      </c>
      <c r="AY52" s="189" t="inlineStr">
        <is>
          <t/>
        </is>
      </c>
      <c r="AZ52" s="190" t="inlineStr">
        <is>
          <t/>
        </is>
      </c>
      <c r="BA52" s="191" t="inlineStr">
        <is>
          <t/>
        </is>
      </c>
      <c r="BB52" s="192" t="inlineStr">
        <is>
          <t>FinLab Accelerator (www.thefinlab.com), Illuminate Financial Management (www.illuminatefinancial.com), Main Incubator (www.main-incubator.com)</t>
        </is>
      </c>
      <c r="BC52" s="193" t="inlineStr">
        <is>
          <t/>
        </is>
      </c>
      <c r="BD52" s="194" t="inlineStr">
        <is>
          <t/>
        </is>
      </c>
      <c r="BE52" s="195" t="inlineStr">
        <is>
          <t/>
        </is>
      </c>
      <c r="BF52" s="196" t="inlineStr">
        <is>
          <t/>
        </is>
      </c>
      <c r="BG52" s="197" t="n">
        <v>42901.0</v>
      </c>
      <c r="BH52" s="198" t="inlineStr">
        <is>
          <t/>
        </is>
      </c>
      <c r="BI52" s="199" t="inlineStr">
        <is>
          <t/>
        </is>
      </c>
      <c r="BJ52" s="200" t="inlineStr">
        <is>
          <t/>
        </is>
      </c>
      <c r="BK52" s="201" t="inlineStr">
        <is>
          <t/>
        </is>
      </c>
      <c r="BL52" s="202" t="inlineStr">
        <is>
          <t>Accelerator/Incubator</t>
        </is>
      </c>
      <c r="BM52" s="203" t="inlineStr">
        <is>
          <t/>
        </is>
      </c>
      <c r="BN52" s="204" t="inlineStr">
        <is>
          <t/>
        </is>
      </c>
      <c r="BO52" s="205" t="inlineStr">
        <is>
          <t>Other</t>
        </is>
      </c>
      <c r="BP52" s="206" t="inlineStr">
        <is>
          <t/>
        </is>
      </c>
      <c r="BQ52" s="207" t="inlineStr">
        <is>
          <t/>
        </is>
      </c>
      <c r="BR52" s="208" t="inlineStr">
        <is>
          <t/>
        </is>
      </c>
      <c r="BS52" s="209" t="inlineStr">
        <is>
          <t>Completed</t>
        </is>
      </c>
      <c r="BT52" s="210" t="n">
        <v>43019.0</v>
      </c>
      <c r="BU52" s="211" t="n">
        <v>1.0</v>
      </c>
      <c r="BV52" s="212" t="inlineStr">
        <is>
          <t>Actual</t>
        </is>
      </c>
      <c r="BW52" s="213" t="inlineStr">
        <is>
          <t/>
        </is>
      </c>
      <c r="BX52" s="214" t="inlineStr">
        <is>
          <t/>
        </is>
      </c>
      <c r="BY52" s="215" t="inlineStr">
        <is>
          <t>Early Stage VC</t>
        </is>
      </c>
      <c r="BZ52" s="216" t="inlineStr">
        <is>
          <t/>
        </is>
      </c>
      <c r="CA52" s="217" t="inlineStr">
        <is>
          <t/>
        </is>
      </c>
      <c r="CB52" s="218" t="inlineStr">
        <is>
          <t>Venture Capital</t>
        </is>
      </c>
      <c r="CC52" s="219" t="inlineStr">
        <is>
          <t/>
        </is>
      </c>
      <c r="CD52" s="220" t="inlineStr">
        <is>
          <t/>
        </is>
      </c>
      <c r="CE52" s="221" t="inlineStr">
        <is>
          <t/>
        </is>
      </c>
      <c r="CF52" s="222" t="inlineStr">
        <is>
          <t>Completed</t>
        </is>
      </c>
      <c r="CG52" s="223" t="inlineStr">
        <is>
          <t>0,00%</t>
        </is>
      </c>
      <c r="CH52" s="224" t="inlineStr">
        <is>
          <t>33</t>
        </is>
      </c>
      <c r="CI52" s="225" t="inlineStr">
        <is>
          <t/>
        </is>
      </c>
      <c r="CJ52" s="226" t="inlineStr">
        <is>
          <t/>
        </is>
      </c>
      <c r="CK52" s="227" t="inlineStr">
        <is>
          <t/>
        </is>
      </c>
      <c r="CL52" s="228" t="inlineStr">
        <is>
          <t/>
        </is>
      </c>
      <c r="CM52" s="229" t="inlineStr">
        <is>
          <t>0,00%</t>
        </is>
      </c>
      <c r="CN52" s="230" t="inlineStr">
        <is>
          <t>20</t>
        </is>
      </c>
      <c r="CO52" s="231" t="inlineStr">
        <is>
          <t/>
        </is>
      </c>
      <c r="CP52" s="232" t="inlineStr">
        <is>
          <t/>
        </is>
      </c>
      <c r="CQ52" s="233" t="inlineStr">
        <is>
          <t/>
        </is>
      </c>
      <c r="CR52" s="234" t="inlineStr">
        <is>
          <t/>
        </is>
      </c>
      <c r="CS52" s="235" t="inlineStr">
        <is>
          <t/>
        </is>
      </c>
      <c r="CT52" s="236" t="inlineStr">
        <is>
          <t/>
        </is>
      </c>
      <c r="CU52" s="237" t="inlineStr">
        <is>
          <t>0,00%</t>
        </is>
      </c>
      <c r="CV52" s="238" t="inlineStr">
        <is>
          <t>21</t>
        </is>
      </c>
      <c r="CW52" s="239" t="inlineStr">
        <is>
          <t>0,18x</t>
        </is>
      </c>
      <c r="CX52" s="240" t="inlineStr">
        <is>
          <t>15</t>
        </is>
      </c>
      <c r="CY52" s="241" t="inlineStr">
        <is>
          <t/>
        </is>
      </c>
      <c r="CZ52" s="242" t="inlineStr">
        <is>
          <t/>
        </is>
      </c>
      <c r="DA52" s="243" t="inlineStr">
        <is>
          <t/>
        </is>
      </c>
      <c r="DB52" s="244" t="inlineStr">
        <is>
          <t/>
        </is>
      </c>
      <c r="DC52" s="245" t="inlineStr">
        <is>
          <t>0,18x</t>
        </is>
      </c>
      <c r="DD52" s="246" t="inlineStr">
        <is>
          <t>20</t>
        </is>
      </c>
      <c r="DE52" s="247" t="inlineStr">
        <is>
          <t/>
        </is>
      </c>
      <c r="DF52" s="248" t="inlineStr">
        <is>
          <t/>
        </is>
      </c>
      <c r="DG52" s="249" t="inlineStr">
        <is>
          <t/>
        </is>
      </c>
      <c r="DH52" s="250" t="inlineStr">
        <is>
          <t/>
        </is>
      </c>
      <c r="DI52" s="251" t="inlineStr">
        <is>
          <t/>
        </is>
      </c>
      <c r="DJ52" s="252" t="inlineStr">
        <is>
          <t/>
        </is>
      </c>
      <c r="DK52" s="253" t="inlineStr">
        <is>
          <t>0,18x</t>
        </is>
      </c>
      <c r="DL52" s="254" t="inlineStr">
        <is>
          <t>23</t>
        </is>
      </c>
      <c r="DM52" s="255" t="inlineStr">
        <is>
          <t/>
        </is>
      </c>
      <c r="DN52" s="256" t="inlineStr">
        <is>
          <t/>
        </is>
      </c>
      <c r="DO52" s="257" t="inlineStr">
        <is>
          <t/>
        </is>
      </c>
      <c r="DP52" s="258" t="inlineStr">
        <is>
          <t/>
        </is>
      </c>
      <c r="DQ52" s="259" t="inlineStr">
        <is>
          <t/>
        </is>
      </c>
      <c r="DR52" s="260" t="inlineStr">
        <is>
          <t/>
        </is>
      </c>
      <c r="DS52" s="261" t="inlineStr">
        <is>
          <t>5</t>
        </is>
      </c>
      <c r="DT52" s="262" t="inlineStr">
        <is>
          <t>0</t>
        </is>
      </c>
      <c r="DU52" s="263" t="inlineStr">
        <is>
          <t>0,00%</t>
        </is>
      </c>
      <c r="DV52" s="264" t="inlineStr">
        <is>
          <t>68</t>
        </is>
      </c>
      <c r="DW52" s="265" t="inlineStr">
        <is>
          <t>-1</t>
        </is>
      </c>
      <c r="DX52" s="266" t="inlineStr">
        <is>
          <t>-1,45%</t>
        </is>
      </c>
      <c r="DY52" s="267" t="inlineStr">
        <is>
          <t>PitchBook Research</t>
        </is>
      </c>
      <c r="DZ52" s="786">
        <f>HYPERLINK("https://my.pitchbook.com?c=187995-25", "View company online")</f>
      </c>
    </row>
    <row r="53">
      <c r="A53" s="9" t="inlineStr">
        <is>
          <t>186947-02</t>
        </is>
      </c>
      <c r="B53" s="10" t="inlineStr">
        <is>
          <t>Advoretto</t>
        </is>
      </c>
      <c r="C53" s="11" t="inlineStr">
        <is>
          <t/>
        </is>
      </c>
      <c r="D53" s="12" t="inlineStr">
        <is>
          <t/>
        </is>
      </c>
      <c r="E53" s="13" t="inlineStr">
        <is>
          <t>186947-02</t>
        </is>
      </c>
      <c r="F53" s="14" t="inlineStr">
        <is>
          <t>Provider of an online platform intended to make it easy for businesses to engage independent lawyers. The company's online platform identifies and screens independent lawyers in all jurisdictions and offers tool to connect with independent lawyers and submit requests for legal services, enabling clients to interact with the professionals and solicit their legal services in a hassle free way.</t>
        </is>
      </c>
      <c r="G53" s="15" t="inlineStr">
        <is>
          <t>Consumer Products and Services (B2C)</t>
        </is>
      </c>
      <c r="H53" s="16" t="inlineStr">
        <is>
          <t>Media</t>
        </is>
      </c>
      <c r="I53" s="17" t="inlineStr">
        <is>
          <t>Information Services (B2C)</t>
        </is>
      </c>
      <c r="J53" s="18" t="inlineStr">
        <is>
          <t>Information Services (B2C)*; Legal Services (B2C); Social/Platform Software</t>
        </is>
      </c>
      <c r="K53" s="19" t="inlineStr">
        <is>
          <t>SaaS</t>
        </is>
      </c>
      <c r="L53" s="20" t="inlineStr">
        <is>
          <t>Venture Capital-Backed</t>
        </is>
      </c>
      <c r="M53" s="21" t="n">
        <v>1.01</v>
      </c>
      <c r="N53" s="22" t="inlineStr">
        <is>
          <t>Startup</t>
        </is>
      </c>
      <c r="O53" s="23" t="inlineStr">
        <is>
          <t>Privately Held (backing)</t>
        </is>
      </c>
      <c r="P53" s="24" t="inlineStr">
        <is>
          <t>Venture Capital</t>
        </is>
      </c>
      <c r="Q53" s="25" t="inlineStr">
        <is>
          <t>www.advoretto.com</t>
        </is>
      </c>
      <c r="R53" s="26" t="inlineStr">
        <is>
          <t/>
        </is>
      </c>
      <c r="S53" s="27" t="inlineStr">
        <is>
          <t/>
        </is>
      </c>
      <c r="T53" s="28" t="inlineStr">
        <is>
          <t/>
        </is>
      </c>
      <c r="U53" s="29" t="n">
        <v>2016.0</v>
      </c>
      <c r="V53" s="30" t="inlineStr">
        <is>
          <t/>
        </is>
      </c>
      <c r="W53" s="31" t="inlineStr">
        <is>
          <t/>
        </is>
      </c>
      <c r="X53" s="32" t="inlineStr">
        <is>
          <t/>
        </is>
      </c>
      <c r="Y53" s="33" t="inlineStr">
        <is>
          <t/>
        </is>
      </c>
      <c r="Z53" s="34" t="inlineStr">
        <is>
          <t/>
        </is>
      </c>
      <c r="AA53" s="35" t="inlineStr">
        <is>
          <t/>
        </is>
      </c>
      <c r="AB53" s="36" t="inlineStr">
        <is>
          <t/>
        </is>
      </c>
      <c r="AC53" s="37" t="inlineStr">
        <is>
          <t/>
        </is>
      </c>
      <c r="AD53" s="38" t="inlineStr">
        <is>
          <t/>
        </is>
      </c>
      <c r="AE53" s="39" t="inlineStr">
        <is>
          <t>172416-25P</t>
        </is>
      </c>
      <c r="AF53" s="40" t="inlineStr">
        <is>
          <t>Bertrand Risler</t>
        </is>
      </c>
      <c r="AG53" s="41" t="inlineStr">
        <is>
          <t>Founder</t>
        </is>
      </c>
      <c r="AH53" s="42" t="inlineStr">
        <is>
          <t>b.risler@advoretto.com</t>
        </is>
      </c>
      <c r="AI53" s="43" t="inlineStr">
        <is>
          <t/>
        </is>
      </c>
      <c r="AJ53" s="44" t="inlineStr">
        <is>
          <t>Zurich, Switzerland</t>
        </is>
      </c>
      <c r="AK53" s="45" t="inlineStr">
        <is>
          <t/>
        </is>
      </c>
      <c r="AL53" s="46" t="inlineStr">
        <is>
          <t/>
        </is>
      </c>
      <c r="AM53" s="47" t="inlineStr">
        <is>
          <t>Zurich</t>
        </is>
      </c>
      <c r="AN53" s="48" t="inlineStr">
        <is>
          <t/>
        </is>
      </c>
      <c r="AO53" s="49" t="inlineStr">
        <is>
          <t/>
        </is>
      </c>
      <c r="AP53" s="50" t="inlineStr">
        <is>
          <t>Switzerland</t>
        </is>
      </c>
      <c r="AQ53" s="51" t="inlineStr">
        <is>
          <t/>
        </is>
      </c>
      <c r="AR53" s="52" t="inlineStr">
        <is>
          <t/>
        </is>
      </c>
      <c r="AS53" s="53" t="inlineStr">
        <is>
          <t>enquiries@advoretto.com</t>
        </is>
      </c>
      <c r="AT53" s="54" t="inlineStr">
        <is>
          <t>Europe</t>
        </is>
      </c>
      <c r="AU53" s="55" t="inlineStr">
        <is>
          <t>Western Europe</t>
        </is>
      </c>
      <c r="AV53" s="56" t="inlineStr">
        <is>
          <t>The company raised $1.2 million of venture funding from undisclosed investors on September 20, 2017. The new funds will be used to expand operations, in particular the screening and verification of profiles of independent lawyers and independent lawyers in various jurisdictions.</t>
        </is>
      </c>
      <c r="AW53" s="57" t="inlineStr">
        <is>
          <t/>
        </is>
      </c>
      <c r="AX53" s="58" t="inlineStr">
        <is>
          <t/>
        </is>
      </c>
      <c r="AY53" s="59" t="inlineStr">
        <is>
          <t/>
        </is>
      </c>
      <c r="AZ53" s="60" t="inlineStr">
        <is>
          <t/>
        </is>
      </c>
      <c r="BA53" s="61" t="inlineStr">
        <is>
          <t/>
        </is>
      </c>
      <c r="BB53" s="62" t="inlineStr">
        <is>
          <t/>
        </is>
      </c>
      <c r="BC53" s="63" t="inlineStr">
        <is>
          <t/>
        </is>
      </c>
      <c r="BD53" s="64" t="inlineStr">
        <is>
          <t/>
        </is>
      </c>
      <c r="BE53" s="65" t="inlineStr">
        <is>
          <t/>
        </is>
      </c>
      <c r="BF53" s="66" t="inlineStr">
        <is>
          <t/>
        </is>
      </c>
      <c r="BG53" s="67" t="n">
        <v>42998.0</v>
      </c>
      <c r="BH53" s="68" t="n">
        <v>1.01</v>
      </c>
      <c r="BI53" s="69" t="inlineStr">
        <is>
          <t>Actual</t>
        </is>
      </c>
      <c r="BJ53" s="70" t="inlineStr">
        <is>
          <t/>
        </is>
      </c>
      <c r="BK53" s="71" t="inlineStr">
        <is>
          <t/>
        </is>
      </c>
      <c r="BL53" s="72" t="inlineStr">
        <is>
          <t>Early Stage VC</t>
        </is>
      </c>
      <c r="BM53" s="73" t="inlineStr">
        <is>
          <t/>
        </is>
      </c>
      <c r="BN53" s="74" t="inlineStr">
        <is>
          <t/>
        </is>
      </c>
      <c r="BO53" s="75" t="inlineStr">
        <is>
          <t>Venture Capital</t>
        </is>
      </c>
      <c r="BP53" s="76" t="inlineStr">
        <is>
          <t/>
        </is>
      </c>
      <c r="BQ53" s="77" t="inlineStr">
        <is>
          <t/>
        </is>
      </c>
      <c r="BR53" s="78" t="inlineStr">
        <is>
          <t/>
        </is>
      </c>
      <c r="BS53" s="79" t="inlineStr">
        <is>
          <t>Completed</t>
        </is>
      </c>
      <c r="BT53" s="80" t="n">
        <v>42998.0</v>
      </c>
      <c r="BU53" s="81" t="n">
        <v>1.01</v>
      </c>
      <c r="BV53" s="82" t="inlineStr">
        <is>
          <t>Actual</t>
        </is>
      </c>
      <c r="BW53" s="83" t="inlineStr">
        <is>
          <t/>
        </is>
      </c>
      <c r="BX53" s="84" t="inlineStr">
        <is>
          <t/>
        </is>
      </c>
      <c r="BY53" s="85" t="inlineStr">
        <is>
          <t>Early Stage VC</t>
        </is>
      </c>
      <c r="BZ53" s="86" t="inlineStr">
        <is>
          <t/>
        </is>
      </c>
      <c r="CA53" s="87" t="inlineStr">
        <is>
          <t/>
        </is>
      </c>
      <c r="CB53" s="88" t="inlineStr">
        <is>
          <t>Venture Capital</t>
        </is>
      </c>
      <c r="CC53" s="89" t="inlineStr">
        <is>
          <t/>
        </is>
      </c>
      <c r="CD53" s="90" t="inlineStr">
        <is>
          <t/>
        </is>
      </c>
      <c r="CE53" s="91" t="inlineStr">
        <is>
          <t/>
        </is>
      </c>
      <c r="CF53" s="92" t="inlineStr">
        <is>
          <t>Completed</t>
        </is>
      </c>
      <c r="CG53" s="93" t="inlineStr">
        <is>
          <t>0,00%</t>
        </is>
      </c>
      <c r="CH53" s="94" t="inlineStr">
        <is>
          <t>33</t>
        </is>
      </c>
      <c r="CI53" s="95" t="inlineStr">
        <is>
          <t/>
        </is>
      </c>
      <c r="CJ53" s="96" t="inlineStr">
        <is>
          <t/>
        </is>
      </c>
      <c r="CK53" s="97" t="inlineStr">
        <is>
          <t/>
        </is>
      </c>
      <c r="CL53" s="98" t="inlineStr">
        <is>
          <t/>
        </is>
      </c>
      <c r="CM53" s="99" t="inlineStr">
        <is>
          <t>0,00%</t>
        </is>
      </c>
      <c r="CN53" s="100" t="inlineStr">
        <is>
          <t>20</t>
        </is>
      </c>
      <c r="CO53" s="101" t="inlineStr">
        <is>
          <t/>
        </is>
      </c>
      <c r="CP53" s="102" t="inlineStr">
        <is>
          <t/>
        </is>
      </c>
      <c r="CQ53" s="103" t="inlineStr">
        <is>
          <t/>
        </is>
      </c>
      <c r="CR53" s="104" t="inlineStr">
        <is>
          <t/>
        </is>
      </c>
      <c r="CS53" s="105" t="inlineStr">
        <is>
          <t/>
        </is>
      </c>
      <c r="CT53" s="106" t="inlineStr">
        <is>
          <t/>
        </is>
      </c>
      <c r="CU53" s="107" t="inlineStr">
        <is>
          <t>0,00%</t>
        </is>
      </c>
      <c r="CV53" s="108" t="inlineStr">
        <is>
          <t>21</t>
        </is>
      </c>
      <c r="CW53" s="109" t="inlineStr">
        <is>
          <t>0,03x</t>
        </is>
      </c>
      <c r="CX53" s="110" t="inlineStr">
        <is>
          <t>1</t>
        </is>
      </c>
      <c r="CY53" s="111" t="inlineStr">
        <is>
          <t/>
        </is>
      </c>
      <c r="CZ53" s="112" t="inlineStr">
        <is>
          <t/>
        </is>
      </c>
      <c r="DA53" s="113" t="inlineStr">
        <is>
          <t/>
        </is>
      </c>
      <c r="DB53" s="114" t="inlineStr">
        <is>
          <t/>
        </is>
      </c>
      <c r="DC53" s="115" t="inlineStr">
        <is>
          <t>0,03x</t>
        </is>
      </c>
      <c r="DD53" s="116" t="inlineStr">
        <is>
          <t>5</t>
        </is>
      </c>
      <c r="DE53" s="117" t="inlineStr">
        <is>
          <t/>
        </is>
      </c>
      <c r="DF53" s="118" t="inlineStr">
        <is>
          <t/>
        </is>
      </c>
      <c r="DG53" s="119" t="inlineStr">
        <is>
          <t/>
        </is>
      </c>
      <c r="DH53" s="120" t="inlineStr">
        <is>
          <t/>
        </is>
      </c>
      <c r="DI53" s="121" t="inlineStr">
        <is>
          <t/>
        </is>
      </c>
      <c r="DJ53" s="122" t="inlineStr">
        <is>
          <t/>
        </is>
      </c>
      <c r="DK53" s="123" t="inlineStr">
        <is>
          <t>0,03x</t>
        </is>
      </c>
      <c r="DL53" s="124" t="inlineStr">
        <is>
          <t>7</t>
        </is>
      </c>
      <c r="DM53" s="125" t="inlineStr">
        <is>
          <t/>
        </is>
      </c>
      <c r="DN53" s="126" t="inlineStr">
        <is>
          <t/>
        </is>
      </c>
      <c r="DO53" s="127" t="inlineStr">
        <is>
          <t/>
        </is>
      </c>
      <c r="DP53" s="128" t="inlineStr">
        <is>
          <t/>
        </is>
      </c>
      <c r="DQ53" s="129" t="inlineStr">
        <is>
          <t/>
        </is>
      </c>
      <c r="DR53" s="130" t="inlineStr">
        <is>
          <t/>
        </is>
      </c>
      <c r="DS53" s="131" t="inlineStr">
        <is>
          <t/>
        </is>
      </c>
      <c r="DT53" s="132" t="inlineStr">
        <is>
          <t/>
        </is>
      </c>
      <c r="DU53" s="133" t="inlineStr">
        <is>
          <t/>
        </is>
      </c>
      <c r="DV53" s="134" t="inlineStr">
        <is>
          <t>10</t>
        </is>
      </c>
      <c r="DW53" s="135" t="inlineStr">
        <is>
          <t>1</t>
        </is>
      </c>
      <c r="DX53" s="136" t="inlineStr">
        <is>
          <t>11,11%</t>
        </is>
      </c>
      <c r="DY53" s="137" t="inlineStr">
        <is>
          <t>PitchBook Research</t>
        </is>
      </c>
      <c r="DZ53" s="785">
        <f>HYPERLINK("https://my.pitchbook.com?c=186947-02", "View company online")</f>
      </c>
    </row>
    <row r="54">
      <c r="A54" s="139" t="inlineStr">
        <is>
          <t>221697-91</t>
        </is>
      </c>
      <c r="B54" s="140" t="inlineStr">
        <is>
          <t>Yolo (Multi-line Insurance)</t>
        </is>
      </c>
      <c r="C54" s="141" t="inlineStr">
        <is>
          <t/>
        </is>
      </c>
      <c r="D54" s="142" t="inlineStr">
        <is>
          <t/>
        </is>
      </c>
      <c r="E54" s="143" t="inlineStr">
        <is>
          <t>221697-91</t>
        </is>
      </c>
      <c r="F54" s="144" t="inlineStr">
        <is>
          <t>Developer of a Saas based insurtech platform designed to bring innovation in the insurance industry, in a channel and product logic. The company's platform and mobile application help costumers in buying insurance products completely paperless via PC and mobile for a given time, enabling consumers to activate micro insurance products in real time and pay-per-use.</t>
        </is>
      </c>
      <c r="G54" s="145" t="inlineStr">
        <is>
          <t>Financial Services</t>
        </is>
      </c>
      <c r="H54" s="146" t="inlineStr">
        <is>
          <t>Insurance</t>
        </is>
      </c>
      <c r="I54" s="147" t="inlineStr">
        <is>
          <t>Multi-line Insurance</t>
        </is>
      </c>
      <c r="J54" s="148" t="inlineStr">
        <is>
          <t>Multi-line Insurance*; Social/Platform Software</t>
        </is>
      </c>
      <c r="K54" s="149" t="inlineStr">
        <is>
          <t>InsurTech, Mobile, SaaS</t>
        </is>
      </c>
      <c r="L54" s="150" t="inlineStr">
        <is>
          <t>Venture Capital-Backed</t>
        </is>
      </c>
      <c r="M54" s="151" t="n">
        <v>1.02</v>
      </c>
      <c r="N54" s="152" t="inlineStr">
        <is>
          <t>Generating Revenue</t>
        </is>
      </c>
      <c r="O54" s="153" t="inlineStr">
        <is>
          <t>Privately Held (backing)</t>
        </is>
      </c>
      <c r="P54" s="154" t="inlineStr">
        <is>
          <t>Venture Capital</t>
        </is>
      </c>
      <c r="Q54" s="155" t="inlineStr">
        <is>
          <t>yolo-insurance.com</t>
        </is>
      </c>
      <c r="R54" s="156" t="inlineStr">
        <is>
          <t/>
        </is>
      </c>
      <c r="S54" s="157" t="inlineStr">
        <is>
          <t/>
        </is>
      </c>
      <c r="T54" s="158" t="inlineStr">
        <is>
          <t/>
        </is>
      </c>
      <c r="U54" s="159" t="n">
        <v>2016.0</v>
      </c>
      <c r="V54" s="160" t="inlineStr">
        <is>
          <t/>
        </is>
      </c>
      <c r="W54" s="161" t="inlineStr">
        <is>
          <t/>
        </is>
      </c>
      <c r="X54" s="162" t="inlineStr">
        <is>
          <t/>
        </is>
      </c>
      <c r="Y54" s="163" t="inlineStr">
        <is>
          <t/>
        </is>
      </c>
      <c r="Z54" s="164" t="inlineStr">
        <is>
          <t/>
        </is>
      </c>
      <c r="AA54" s="165" t="inlineStr">
        <is>
          <t/>
        </is>
      </c>
      <c r="AB54" s="166" t="inlineStr">
        <is>
          <t/>
        </is>
      </c>
      <c r="AC54" s="167" t="inlineStr">
        <is>
          <t/>
        </is>
      </c>
      <c r="AD54" s="168" t="inlineStr">
        <is>
          <t/>
        </is>
      </c>
      <c r="AE54" s="169" t="inlineStr">
        <is>
          <t>75005-11P</t>
        </is>
      </c>
      <c r="AF54" s="170" t="inlineStr">
        <is>
          <t>Simone Brandimarte</t>
        </is>
      </c>
      <c r="AG54" s="171" t="inlineStr">
        <is>
          <t>Chief Executive Officer &amp; Co-Founder</t>
        </is>
      </c>
      <c r="AH54" s="172" t="inlineStr">
        <is>
          <t>simone@yolo-insurance.com</t>
        </is>
      </c>
      <c r="AI54" s="173" t="inlineStr">
        <is>
          <t>+39 02 8719 9231</t>
        </is>
      </c>
      <c r="AJ54" s="174" t="inlineStr">
        <is>
          <t>Milan, Italy</t>
        </is>
      </c>
      <c r="AK54" s="175" t="inlineStr">
        <is>
          <t>Via Antonio Zarotto 2 / A</t>
        </is>
      </c>
      <c r="AL54" s="176" t="inlineStr">
        <is>
          <t/>
        </is>
      </c>
      <c r="AM54" s="177" t="inlineStr">
        <is>
          <t>Milan</t>
        </is>
      </c>
      <c r="AN54" s="178" t="inlineStr">
        <is>
          <t/>
        </is>
      </c>
      <c r="AO54" s="179" t="inlineStr">
        <is>
          <t>20124</t>
        </is>
      </c>
      <c r="AP54" s="180" t="inlineStr">
        <is>
          <t>Italy</t>
        </is>
      </c>
      <c r="AQ54" s="181" t="inlineStr">
        <is>
          <t>+39 02 8719 9231</t>
        </is>
      </c>
      <c r="AR54" s="182" t="inlineStr">
        <is>
          <t/>
        </is>
      </c>
      <c r="AS54" s="183" t="inlineStr">
        <is>
          <t>info@yolo-insurance.com</t>
        </is>
      </c>
      <c r="AT54" s="184" t="inlineStr">
        <is>
          <t>Europe</t>
        </is>
      </c>
      <c r="AU54" s="185" t="inlineStr">
        <is>
          <t>Southern Europe</t>
        </is>
      </c>
      <c r="AV54" s="186" t="inlineStr">
        <is>
          <t>The company is planning to raise EUR 6 million of venture funding as of October 24, 2017. Previously, the company raised EUR 1 million of venture funding led by Primomiglio SGR via its Barcamber Ventures vehicle on October 24, 2017. Miro Ventures and Mansutti also participated in this round. The company intends to use the funds to accelerate the tech and product development efforts. The company is being actively tracked by PitchBook.</t>
        </is>
      </c>
      <c r="AW54" s="187" t="inlineStr">
        <is>
          <t>dPixel, Mansutti, Miro Ventures, Primomiglio SGR</t>
        </is>
      </c>
      <c r="AX54" s="188" t="n">
        <v>4.0</v>
      </c>
      <c r="AY54" s="189" t="inlineStr">
        <is>
          <t/>
        </is>
      </c>
      <c r="AZ54" s="190" t="inlineStr">
        <is>
          <t/>
        </is>
      </c>
      <c r="BA54" s="191" t="inlineStr">
        <is>
          <t/>
        </is>
      </c>
      <c r="BB54" s="192" t="inlineStr">
        <is>
          <t>dPixel (www.dpixel.it), Mansutti (www.mansutti.it), Miro Ventures (www.miroventures.com), Primomiglio SGR (www.primomigliosgr.it)</t>
        </is>
      </c>
      <c r="BC54" s="193" t="inlineStr">
        <is>
          <t/>
        </is>
      </c>
      <c r="BD54" s="194" t="inlineStr">
        <is>
          <t/>
        </is>
      </c>
      <c r="BE54" s="195" t="inlineStr">
        <is>
          <t/>
        </is>
      </c>
      <c r="BF54" s="196" t="inlineStr">
        <is>
          <t/>
        </is>
      </c>
      <c r="BG54" s="197" t="inlineStr">
        <is>
          <t/>
        </is>
      </c>
      <c r="BH54" s="198" t="n">
        <v>0.03</v>
      </c>
      <c r="BI54" s="199" t="inlineStr">
        <is>
          <t>Actual</t>
        </is>
      </c>
      <c r="BJ54" s="200" t="inlineStr">
        <is>
          <t/>
        </is>
      </c>
      <c r="BK54" s="201" t="inlineStr">
        <is>
          <t/>
        </is>
      </c>
      <c r="BL54" s="202" t="inlineStr">
        <is>
          <t>Accelerator/Incubator</t>
        </is>
      </c>
      <c r="BM54" s="203" t="inlineStr">
        <is>
          <t/>
        </is>
      </c>
      <c r="BN54" s="204" t="inlineStr">
        <is>
          <t/>
        </is>
      </c>
      <c r="BO54" s="205" t="inlineStr">
        <is>
          <t>Other</t>
        </is>
      </c>
      <c r="BP54" s="206" t="inlineStr">
        <is>
          <t/>
        </is>
      </c>
      <c r="BQ54" s="207" t="inlineStr">
        <is>
          <t/>
        </is>
      </c>
      <c r="BR54" s="208" t="inlineStr">
        <is>
          <t/>
        </is>
      </c>
      <c r="BS54" s="209" t="inlineStr">
        <is>
          <t>Completed</t>
        </is>
      </c>
      <c r="BT54" s="210" t="n">
        <v>43397.0</v>
      </c>
      <c r="BU54" s="211" t="n">
        <v>6.0</v>
      </c>
      <c r="BV54" s="212" t="inlineStr">
        <is>
          <t>Actual</t>
        </is>
      </c>
      <c r="BW54" s="213" t="inlineStr">
        <is>
          <t/>
        </is>
      </c>
      <c r="BX54" s="214" t="inlineStr">
        <is>
          <t/>
        </is>
      </c>
      <c r="BY54" s="215" t="inlineStr">
        <is>
          <t>Early Stage VC</t>
        </is>
      </c>
      <c r="BZ54" s="216" t="inlineStr">
        <is>
          <t/>
        </is>
      </c>
      <c r="CA54" s="217" t="inlineStr">
        <is>
          <t/>
        </is>
      </c>
      <c r="CB54" s="218" t="inlineStr">
        <is>
          <t>Venture Capital</t>
        </is>
      </c>
      <c r="CC54" s="219" t="inlineStr">
        <is>
          <t/>
        </is>
      </c>
      <c r="CD54" s="220" t="inlineStr">
        <is>
          <t/>
        </is>
      </c>
      <c r="CE54" s="221" t="inlineStr">
        <is>
          <t/>
        </is>
      </c>
      <c r="CF54" s="222" t="inlineStr">
        <is>
          <t>Upcoming</t>
        </is>
      </c>
      <c r="CG54" s="223" t="inlineStr">
        <is>
          <t>0,00%</t>
        </is>
      </c>
      <c r="CH54" s="224" t="inlineStr">
        <is>
          <t>33</t>
        </is>
      </c>
      <c r="CI54" s="225" t="inlineStr">
        <is>
          <t/>
        </is>
      </c>
      <c r="CJ54" s="226" t="inlineStr">
        <is>
          <t/>
        </is>
      </c>
      <c r="CK54" s="227" t="inlineStr">
        <is>
          <t/>
        </is>
      </c>
      <c r="CL54" s="228" t="inlineStr">
        <is>
          <t/>
        </is>
      </c>
      <c r="CM54" s="229" t="inlineStr">
        <is>
          <t>0,00%</t>
        </is>
      </c>
      <c r="CN54" s="230" t="inlineStr">
        <is>
          <t>20</t>
        </is>
      </c>
      <c r="CO54" s="231" t="inlineStr">
        <is>
          <t/>
        </is>
      </c>
      <c r="CP54" s="232" t="inlineStr">
        <is>
          <t/>
        </is>
      </c>
      <c r="CQ54" s="233" t="inlineStr">
        <is>
          <t/>
        </is>
      </c>
      <c r="CR54" s="234" t="inlineStr">
        <is>
          <t/>
        </is>
      </c>
      <c r="CS54" s="235" t="inlineStr">
        <is>
          <t>0,00%</t>
        </is>
      </c>
      <c r="CT54" s="236" t="inlineStr">
        <is>
          <t>18</t>
        </is>
      </c>
      <c r="CU54" s="237" t="inlineStr">
        <is>
          <t/>
        </is>
      </c>
      <c r="CV54" s="238" t="inlineStr">
        <is>
          <t/>
        </is>
      </c>
      <c r="CW54" s="239" t="inlineStr">
        <is>
          <t>0,02x</t>
        </is>
      </c>
      <c r="CX54" s="240" t="inlineStr">
        <is>
          <t>1</t>
        </is>
      </c>
      <c r="CY54" s="241" t="inlineStr">
        <is>
          <t/>
        </is>
      </c>
      <c r="CZ54" s="242" t="inlineStr">
        <is>
          <t/>
        </is>
      </c>
      <c r="DA54" s="243" t="inlineStr">
        <is>
          <t/>
        </is>
      </c>
      <c r="DB54" s="244" t="inlineStr">
        <is>
          <t/>
        </is>
      </c>
      <c r="DC54" s="245" t="inlineStr">
        <is>
          <t>0,02x</t>
        </is>
      </c>
      <c r="DD54" s="246" t="inlineStr">
        <is>
          <t>4</t>
        </is>
      </c>
      <c r="DE54" s="247" t="inlineStr">
        <is>
          <t/>
        </is>
      </c>
      <c r="DF54" s="248" t="inlineStr">
        <is>
          <t/>
        </is>
      </c>
      <c r="DG54" s="249" t="inlineStr">
        <is>
          <t/>
        </is>
      </c>
      <c r="DH54" s="250" t="inlineStr">
        <is>
          <t/>
        </is>
      </c>
      <c r="DI54" s="251" t="inlineStr">
        <is>
          <t>0,02x</t>
        </is>
      </c>
      <c r="DJ54" s="252" t="inlineStr">
        <is>
          <t>4</t>
        </is>
      </c>
      <c r="DK54" s="253" t="inlineStr">
        <is>
          <t/>
        </is>
      </c>
      <c r="DL54" s="254" t="inlineStr">
        <is>
          <t/>
        </is>
      </c>
      <c r="DM54" s="255" t="inlineStr">
        <is>
          <t/>
        </is>
      </c>
      <c r="DN54" s="256" t="inlineStr">
        <is>
          <t/>
        </is>
      </c>
      <c r="DO54" s="257" t="inlineStr">
        <is>
          <t/>
        </is>
      </c>
      <c r="DP54" s="258" t="inlineStr">
        <is>
          <t>19</t>
        </is>
      </c>
      <c r="DQ54" s="259" t="inlineStr">
        <is>
          <t>2</t>
        </is>
      </c>
      <c r="DR54" s="260" t="inlineStr">
        <is>
          <t>11,76%</t>
        </is>
      </c>
      <c r="DS54" s="261" t="inlineStr">
        <is>
          <t>5</t>
        </is>
      </c>
      <c r="DT54" s="262" t="inlineStr">
        <is>
          <t>0</t>
        </is>
      </c>
      <c r="DU54" s="263" t="inlineStr">
        <is>
          <t>0,00%</t>
        </is>
      </c>
      <c r="DV54" s="264" t="inlineStr">
        <is>
          <t/>
        </is>
      </c>
      <c r="DW54" s="265" t="inlineStr">
        <is>
          <t/>
        </is>
      </c>
      <c r="DX54" s="266" t="inlineStr">
        <is>
          <t/>
        </is>
      </c>
      <c r="DY54" s="267" t="inlineStr">
        <is>
          <t>PitchBook Research</t>
        </is>
      </c>
      <c r="DZ54" s="786">
        <f>HYPERLINK("https://my.pitchbook.com?c=221697-91", "View company online")</f>
      </c>
    </row>
    <row r="55">
      <c r="A55" s="9" t="inlineStr">
        <is>
          <t>222019-57</t>
        </is>
      </c>
      <c r="B55" s="10" t="inlineStr">
        <is>
          <t>Winture</t>
        </is>
      </c>
      <c r="C55" s="11" t="inlineStr">
        <is>
          <t/>
        </is>
      </c>
      <c r="D55" s="12" t="inlineStr">
        <is>
          <t/>
        </is>
      </c>
      <c r="E55" s="13" t="inlineStr">
        <is>
          <t>222019-57</t>
        </is>
      </c>
      <c r="F55" s="14" t="inlineStr">
        <is>
          <t>Developer of water desalination and solar powered power systems created to bring electricity and water to the poorest regions in the world. The company's custom-tailored water desalination systems utilise modified reverse osmosis and are designed to operate off-grid, powered by renewable energy in the harshest and most remote environments on earth , enabling agricultural customers, industrial beverage producers, and individual consumers to desalinate raw polluted water from locally available water sources and to ensure low-cost hygiene drinking and irrigation water.</t>
        </is>
      </c>
      <c r="G55" s="15" t="inlineStr">
        <is>
          <t>Energy</t>
        </is>
      </c>
      <c r="H55" s="16" t="inlineStr">
        <is>
          <t>Energy Equipment</t>
        </is>
      </c>
      <c r="I55" s="17" t="inlineStr">
        <is>
          <t>Alternative Energy Equipment</t>
        </is>
      </c>
      <c r="J55" s="18" t="inlineStr">
        <is>
          <t>Alternative Energy Equipment*</t>
        </is>
      </c>
      <c r="K55" s="19" t="inlineStr">
        <is>
          <t>CleanTech</t>
        </is>
      </c>
      <c r="L55" s="20" t="inlineStr">
        <is>
          <t>Accelerator/Incubator Backed</t>
        </is>
      </c>
      <c r="M55" s="21" t="n">
        <v>1.02</v>
      </c>
      <c r="N55" s="22" t="inlineStr">
        <is>
          <t>Generating Revenue</t>
        </is>
      </c>
      <c r="O55" s="23" t="inlineStr">
        <is>
          <t>Privately Held (backing)</t>
        </is>
      </c>
      <c r="P55" s="24" t="inlineStr">
        <is>
          <t>Pre-venture</t>
        </is>
      </c>
      <c r="Q55" s="25" t="inlineStr">
        <is>
          <t>www.winture.de</t>
        </is>
      </c>
      <c r="R55" s="26" t="inlineStr">
        <is>
          <t/>
        </is>
      </c>
      <c r="S55" s="27" t="inlineStr">
        <is>
          <t/>
        </is>
      </c>
      <c r="T55" s="28" t="inlineStr">
        <is>
          <t/>
        </is>
      </c>
      <c r="U55" s="29" t="n">
        <v>2013.0</v>
      </c>
      <c r="V55" s="30" t="inlineStr">
        <is>
          <t/>
        </is>
      </c>
      <c r="W55" s="31" t="inlineStr">
        <is>
          <t/>
        </is>
      </c>
      <c r="X55" s="32" t="inlineStr">
        <is>
          <t/>
        </is>
      </c>
      <c r="Y55" s="33" t="inlineStr">
        <is>
          <t/>
        </is>
      </c>
      <c r="Z55" s="34" t="inlineStr">
        <is>
          <t/>
        </is>
      </c>
      <c r="AA55" s="35" t="inlineStr">
        <is>
          <t/>
        </is>
      </c>
      <c r="AB55" s="36" t="inlineStr">
        <is>
          <t/>
        </is>
      </c>
      <c r="AC55" s="37" t="inlineStr">
        <is>
          <t/>
        </is>
      </c>
      <c r="AD55" s="38" t="inlineStr">
        <is>
          <t/>
        </is>
      </c>
      <c r="AE55" s="39" t="inlineStr">
        <is>
          <t>173963-17P</t>
        </is>
      </c>
      <c r="AF55" s="40" t="inlineStr">
        <is>
          <t>Hamed Beheshti</t>
        </is>
      </c>
      <c r="AG55" s="41" t="inlineStr">
        <is>
          <t>Co-Founder &amp; Executive Manager</t>
        </is>
      </c>
      <c r="AH55" s="42" t="inlineStr">
        <is>
          <t>beheshti@boreallight.com</t>
        </is>
      </c>
      <c r="AI55" s="43" t="inlineStr">
        <is>
          <t>+49 (0)04 9174 4453 532</t>
        </is>
      </c>
      <c r="AJ55" s="44" t="inlineStr">
        <is>
          <t>Berlin, Germany</t>
        </is>
      </c>
      <c r="AK55" s="45" t="inlineStr">
        <is>
          <t>8 Johann Hittorf Street</t>
        </is>
      </c>
      <c r="AL55" s="46" t="inlineStr">
        <is>
          <t/>
        </is>
      </c>
      <c r="AM55" s="47" t="inlineStr">
        <is>
          <t>Berlin</t>
        </is>
      </c>
      <c r="AN55" s="48" t="inlineStr">
        <is>
          <t/>
        </is>
      </c>
      <c r="AO55" s="49" t="inlineStr">
        <is>
          <t>12489</t>
        </is>
      </c>
      <c r="AP55" s="50" t="inlineStr">
        <is>
          <t>Germany</t>
        </is>
      </c>
      <c r="AQ55" s="51" t="inlineStr">
        <is>
          <t>+49 (0)04 9174 4453 532</t>
        </is>
      </c>
      <c r="AR55" s="52" t="inlineStr">
        <is>
          <t/>
        </is>
      </c>
      <c r="AS55" s="53" t="inlineStr">
        <is>
          <t>info@boreallight.com</t>
        </is>
      </c>
      <c r="AT55" s="54" t="inlineStr">
        <is>
          <t>Europe</t>
        </is>
      </c>
      <c r="AU55" s="55" t="inlineStr">
        <is>
          <t>Western Europe</t>
        </is>
      </c>
      <c r="AV55" s="56" t="inlineStr">
        <is>
          <t>The company joined Startupbootcamp as a part of FoodTech Rome 2017 Batch and received EUR 15,000 in funding on October 16, 2017.</t>
        </is>
      </c>
      <c r="AW55" s="57" t="inlineStr">
        <is>
          <t>GreenTec Capital Partners, Startupbootcamp</t>
        </is>
      </c>
      <c r="AX55" s="58" t="n">
        <v>2.0</v>
      </c>
      <c r="AY55" s="59" t="inlineStr">
        <is>
          <t/>
        </is>
      </c>
      <c r="AZ55" s="60" t="inlineStr">
        <is>
          <t/>
        </is>
      </c>
      <c r="BA55" s="61" t="inlineStr">
        <is>
          <t/>
        </is>
      </c>
      <c r="BB55" s="62" t="inlineStr">
        <is>
          <t>GreenTec Capital Partners (greentec-capital.com), Startupbootcamp (www.startupbootcamp.org)</t>
        </is>
      </c>
      <c r="BC55" s="63" t="inlineStr">
        <is>
          <t/>
        </is>
      </c>
      <c r="BD55" s="64" t="inlineStr">
        <is>
          <t/>
        </is>
      </c>
      <c r="BE55" s="65" t="inlineStr">
        <is>
          <t/>
        </is>
      </c>
      <c r="BF55" s="66" t="inlineStr">
        <is>
          <t/>
        </is>
      </c>
      <c r="BG55" s="67" t="n">
        <v>42979.0</v>
      </c>
      <c r="BH55" s="68" t="n">
        <v>1.01</v>
      </c>
      <c r="BI55" s="69" t="inlineStr">
        <is>
          <t>Actual</t>
        </is>
      </c>
      <c r="BJ55" s="70" t="inlineStr">
        <is>
          <t/>
        </is>
      </c>
      <c r="BK55" s="71" t="inlineStr">
        <is>
          <t/>
        </is>
      </c>
      <c r="BL55" s="72" t="inlineStr">
        <is>
          <t>Angel (individual)</t>
        </is>
      </c>
      <c r="BM55" s="73" t="inlineStr">
        <is>
          <t>Angel</t>
        </is>
      </c>
      <c r="BN55" s="74" t="inlineStr">
        <is>
          <t/>
        </is>
      </c>
      <c r="BO55" s="75" t="inlineStr">
        <is>
          <t>Individual</t>
        </is>
      </c>
      <c r="BP55" s="76" t="inlineStr">
        <is>
          <t/>
        </is>
      </c>
      <c r="BQ55" s="77" t="inlineStr">
        <is>
          <t/>
        </is>
      </c>
      <c r="BR55" s="78" t="inlineStr">
        <is>
          <t/>
        </is>
      </c>
      <c r="BS55" s="79" t="inlineStr">
        <is>
          <t>Completed</t>
        </is>
      </c>
      <c r="BT55" s="80" t="n">
        <v>43024.0</v>
      </c>
      <c r="BU55" s="81" t="n">
        <v>0.02</v>
      </c>
      <c r="BV55" s="82" t="inlineStr">
        <is>
          <t>Actual</t>
        </is>
      </c>
      <c r="BW55" s="83" t="n">
        <v>0.25</v>
      </c>
      <c r="BX55" s="84" t="inlineStr">
        <is>
          <t>Actual</t>
        </is>
      </c>
      <c r="BY55" s="85" t="inlineStr">
        <is>
          <t>Accelerator/Incubator</t>
        </is>
      </c>
      <c r="BZ55" s="86" t="inlineStr">
        <is>
          <t/>
        </is>
      </c>
      <c r="CA55" s="87" t="inlineStr">
        <is>
          <t/>
        </is>
      </c>
      <c r="CB55" s="88" t="inlineStr">
        <is>
          <t>Other</t>
        </is>
      </c>
      <c r="CC55" s="89" t="inlineStr">
        <is>
          <t/>
        </is>
      </c>
      <c r="CD55" s="90" t="inlineStr">
        <is>
          <t/>
        </is>
      </c>
      <c r="CE55" s="91" t="inlineStr">
        <is>
          <t/>
        </is>
      </c>
      <c r="CF55" s="92" t="inlineStr">
        <is>
          <t>Completed</t>
        </is>
      </c>
      <c r="CG55" s="93" t="inlineStr">
        <is>
          <t/>
        </is>
      </c>
      <c r="CH55" s="94" t="inlineStr">
        <is>
          <t/>
        </is>
      </c>
      <c r="CI55" s="95" t="inlineStr">
        <is>
          <t/>
        </is>
      </c>
      <c r="CJ55" s="96" t="inlineStr">
        <is>
          <t/>
        </is>
      </c>
      <c r="CK55" s="97" t="inlineStr">
        <is>
          <t/>
        </is>
      </c>
      <c r="CL55" s="98" t="inlineStr">
        <is>
          <t/>
        </is>
      </c>
      <c r="CM55" s="99" t="inlineStr">
        <is>
          <t/>
        </is>
      </c>
      <c r="CN55" s="100" t="inlineStr">
        <is>
          <t/>
        </is>
      </c>
      <c r="CO55" s="101" t="inlineStr">
        <is>
          <t/>
        </is>
      </c>
      <c r="CP55" s="102" t="inlineStr">
        <is>
          <t/>
        </is>
      </c>
      <c r="CQ55" s="103" t="inlineStr">
        <is>
          <t/>
        </is>
      </c>
      <c r="CR55" s="104" t="inlineStr">
        <is>
          <t/>
        </is>
      </c>
      <c r="CS55" s="105" t="inlineStr">
        <is>
          <t/>
        </is>
      </c>
      <c r="CT55" s="106" t="inlineStr">
        <is>
          <t/>
        </is>
      </c>
      <c r="CU55" s="107" t="inlineStr">
        <is>
          <t/>
        </is>
      </c>
      <c r="CV55" s="108" t="inlineStr">
        <is>
          <t/>
        </is>
      </c>
      <c r="CW55" s="109" t="inlineStr">
        <is>
          <t/>
        </is>
      </c>
      <c r="CX55" s="110" t="inlineStr">
        <is>
          <t/>
        </is>
      </c>
      <c r="CY55" s="111" t="inlineStr">
        <is>
          <t/>
        </is>
      </c>
      <c r="CZ55" s="112" t="inlineStr">
        <is>
          <t/>
        </is>
      </c>
      <c r="DA55" s="113" t="inlineStr">
        <is>
          <t/>
        </is>
      </c>
      <c r="DB55" s="114" t="inlineStr">
        <is>
          <t/>
        </is>
      </c>
      <c r="DC55" s="115" t="inlineStr">
        <is>
          <t/>
        </is>
      </c>
      <c r="DD55" s="116" t="inlineStr">
        <is>
          <t/>
        </is>
      </c>
      <c r="DE55" s="117" t="inlineStr">
        <is>
          <t/>
        </is>
      </c>
      <c r="DF55" s="118" t="inlineStr">
        <is>
          <t/>
        </is>
      </c>
      <c r="DG55" s="119" t="inlineStr">
        <is>
          <t/>
        </is>
      </c>
      <c r="DH55" s="120" t="inlineStr">
        <is>
          <t/>
        </is>
      </c>
      <c r="DI55" s="121" t="inlineStr">
        <is>
          <t/>
        </is>
      </c>
      <c r="DJ55" s="122" t="inlineStr">
        <is>
          <t/>
        </is>
      </c>
      <c r="DK55" s="123" t="inlineStr">
        <is>
          <t/>
        </is>
      </c>
      <c r="DL55" s="124" t="inlineStr">
        <is>
          <t/>
        </is>
      </c>
      <c r="DM55" s="125" t="inlineStr">
        <is>
          <t/>
        </is>
      </c>
      <c r="DN55" s="126" t="inlineStr">
        <is>
          <t/>
        </is>
      </c>
      <c r="DO55" s="127" t="inlineStr">
        <is>
          <t/>
        </is>
      </c>
      <c r="DP55" s="128" t="inlineStr">
        <is>
          <t/>
        </is>
      </c>
      <c r="DQ55" s="129" t="inlineStr">
        <is>
          <t/>
        </is>
      </c>
      <c r="DR55" s="130" t="inlineStr">
        <is>
          <t/>
        </is>
      </c>
      <c r="DS55" s="131" t="inlineStr">
        <is>
          <t/>
        </is>
      </c>
      <c r="DT55" s="132" t="inlineStr">
        <is>
          <t/>
        </is>
      </c>
      <c r="DU55" s="133" t="inlineStr">
        <is>
          <t/>
        </is>
      </c>
      <c r="DV55" s="134" t="inlineStr">
        <is>
          <t/>
        </is>
      </c>
      <c r="DW55" s="135" t="inlineStr">
        <is>
          <t/>
        </is>
      </c>
      <c r="DX55" s="136" t="inlineStr">
        <is>
          <t/>
        </is>
      </c>
      <c r="DY55" s="137" t="inlineStr">
        <is>
          <t>PitchBook Research</t>
        </is>
      </c>
      <c r="DZ55" s="785">
        <f>HYPERLINK("https://my.pitchbook.com?c=222019-57", "View company online")</f>
      </c>
    </row>
    <row r="56">
      <c r="A56" s="139" t="inlineStr">
        <is>
          <t>168588-10</t>
        </is>
      </c>
      <c r="B56" s="140" t="inlineStr">
        <is>
          <t>DataSine</t>
        </is>
      </c>
      <c r="C56" s="141" t="inlineStr">
        <is>
          <t/>
        </is>
      </c>
      <c r="D56" s="142" t="inlineStr">
        <is>
          <t/>
        </is>
      </c>
      <c r="E56" s="143" t="inlineStr">
        <is>
          <t>168588-10</t>
        </is>
      </c>
      <c r="F56" s="144" t="inlineStr">
        <is>
          <t>Developer of personality data platform intended to help companies build meaningful customer relationships. The company's personality data platform analyses customer's psychometric and biographical data to build a behavioral and risk profile of each customer, providing enterprises with powerful insights made actionable, revolutionizing their customer experience.</t>
        </is>
      </c>
      <c r="G56" s="145" t="inlineStr">
        <is>
          <t>Business Products and Services (B2B)</t>
        </is>
      </c>
      <c r="H56" s="146" t="inlineStr">
        <is>
          <t>Commercial Services</t>
        </is>
      </c>
      <c r="I56" s="147" t="inlineStr">
        <is>
          <t>Media and Information Services (B2B)</t>
        </is>
      </c>
      <c r="J56" s="148" t="inlineStr">
        <is>
          <t>Media and Information Services (B2B)*; Business/Productivity Software</t>
        </is>
      </c>
      <c r="K56" s="149" t="inlineStr">
        <is>
          <t>Big Data, FinTech</t>
        </is>
      </c>
      <c r="L56" s="150" t="inlineStr">
        <is>
          <t>Venture Capital-Backed</t>
        </is>
      </c>
      <c r="M56" s="151" t="n">
        <v>1.09</v>
      </c>
      <c r="N56" s="152" t="inlineStr">
        <is>
          <t>Generating Revenue</t>
        </is>
      </c>
      <c r="O56" s="153" t="inlineStr">
        <is>
          <t>Privately Held (backing)</t>
        </is>
      </c>
      <c r="P56" s="154" t="inlineStr">
        <is>
          <t>Venture Capital</t>
        </is>
      </c>
      <c r="Q56" s="155" t="inlineStr">
        <is>
          <t>www.datasine.com</t>
        </is>
      </c>
      <c r="R56" s="156" t="n">
        <v>6.0</v>
      </c>
      <c r="S56" s="157" t="inlineStr">
        <is>
          <t/>
        </is>
      </c>
      <c r="T56" s="158" t="inlineStr">
        <is>
          <t/>
        </is>
      </c>
      <c r="U56" s="159" t="n">
        <v>2015.0</v>
      </c>
      <c r="V56" s="160" t="inlineStr">
        <is>
          <t/>
        </is>
      </c>
      <c r="W56" s="161" t="inlineStr">
        <is>
          <t/>
        </is>
      </c>
      <c r="X56" s="162" t="inlineStr">
        <is>
          <t/>
        </is>
      </c>
      <c r="Y56" s="163" t="inlineStr">
        <is>
          <t/>
        </is>
      </c>
      <c r="Z56" s="164" t="inlineStr">
        <is>
          <t/>
        </is>
      </c>
      <c r="AA56" s="165" t="inlineStr">
        <is>
          <t/>
        </is>
      </c>
      <c r="AB56" s="166" t="inlineStr">
        <is>
          <t/>
        </is>
      </c>
      <c r="AC56" s="167" t="inlineStr">
        <is>
          <t/>
        </is>
      </c>
      <c r="AD56" s="168" t="inlineStr">
        <is>
          <t/>
        </is>
      </c>
      <c r="AE56" s="169" t="inlineStr">
        <is>
          <t>151227-73P</t>
        </is>
      </c>
      <c r="AF56" s="170" t="inlineStr">
        <is>
          <t>Igor Volzhanin</t>
        </is>
      </c>
      <c r="AG56" s="171" t="inlineStr">
        <is>
          <t>Co-Founder &amp; Chief Executive Officer</t>
        </is>
      </c>
      <c r="AH56" s="172" t="inlineStr">
        <is>
          <t>igor@datasine.com</t>
        </is>
      </c>
      <c r="AI56" s="173" t="inlineStr">
        <is>
          <t>+44 (0)79 4047 2935</t>
        </is>
      </c>
      <c r="AJ56" s="174" t="inlineStr">
        <is>
          <t>London, United Kingdom</t>
        </is>
      </c>
      <c r="AK56" s="175" t="inlineStr">
        <is>
          <t>TechHub</t>
        </is>
      </c>
      <c r="AL56" s="176" t="inlineStr">
        <is>
          <t>20 Ropemaker Street</t>
        </is>
      </c>
      <c r="AM56" s="177" t="inlineStr">
        <is>
          <t>London</t>
        </is>
      </c>
      <c r="AN56" s="178" t="inlineStr">
        <is>
          <t>England</t>
        </is>
      </c>
      <c r="AO56" s="179" t="inlineStr">
        <is>
          <t>EC2Y 9AR</t>
        </is>
      </c>
      <c r="AP56" s="180" t="inlineStr">
        <is>
          <t>United Kingdom</t>
        </is>
      </c>
      <c r="AQ56" s="181" t="inlineStr">
        <is>
          <t>+44 (0)79 4047 2935</t>
        </is>
      </c>
      <c r="AR56" s="182" t="inlineStr">
        <is>
          <t/>
        </is>
      </c>
      <c r="AS56" s="183" t="inlineStr">
        <is>
          <t>business@datasine.com</t>
        </is>
      </c>
      <c r="AT56" s="184" t="inlineStr">
        <is>
          <t>Europe</t>
        </is>
      </c>
      <c r="AU56" s="185" t="inlineStr">
        <is>
          <t>Western Europe</t>
        </is>
      </c>
      <c r="AV56" s="186" t="inlineStr">
        <is>
          <t>The company raised EUR 1 million of seed funding from Sistema Venture Capital, BNP Paribas and Force Over Mass Capital on October 18, 2017. BNP Paribas and Cathy innovation have Participated through C Entrepreneurs.</t>
        </is>
      </c>
      <c r="AW56" s="187" t="inlineStr">
        <is>
          <t>BNP Paribas, Force Over Mass Capital, Sistema Venture Capital, Techstars</t>
        </is>
      </c>
      <c r="AX56" s="188" t="n">
        <v>4.0</v>
      </c>
      <c r="AY56" s="189" t="inlineStr">
        <is>
          <t/>
        </is>
      </c>
      <c r="AZ56" s="190" t="inlineStr">
        <is>
          <t/>
        </is>
      </c>
      <c r="BA56" s="191" t="inlineStr">
        <is>
          <t/>
        </is>
      </c>
      <c r="BB56" s="192" t="inlineStr">
        <is>
          <t>BNP Paribas (www.group.bnpparibas), Force Over Mass Capital (www.fomcap.com), Sistema Venture Capital (www.sistema.vc), Techstars (www.techstars.com)</t>
        </is>
      </c>
      <c r="BC56" s="193" t="inlineStr">
        <is>
          <t/>
        </is>
      </c>
      <c r="BD56" s="194" t="inlineStr">
        <is>
          <t/>
        </is>
      </c>
      <c r="BE56" s="195" t="inlineStr">
        <is>
          <t/>
        </is>
      </c>
      <c r="BF56" s="196" t="inlineStr">
        <is>
          <t/>
        </is>
      </c>
      <c r="BG56" s="197" t="n">
        <v>42541.0</v>
      </c>
      <c r="BH56" s="198" t="n">
        <v>0.09</v>
      </c>
      <c r="BI56" s="199" t="inlineStr">
        <is>
          <t>Actual</t>
        </is>
      </c>
      <c r="BJ56" s="200" t="inlineStr">
        <is>
          <t/>
        </is>
      </c>
      <c r="BK56" s="201" t="inlineStr">
        <is>
          <t/>
        </is>
      </c>
      <c r="BL56" s="202" t="inlineStr">
        <is>
          <t>Accelerator/Incubator</t>
        </is>
      </c>
      <c r="BM56" s="203" t="inlineStr">
        <is>
          <t/>
        </is>
      </c>
      <c r="BN56" s="204" t="inlineStr">
        <is>
          <t/>
        </is>
      </c>
      <c r="BO56" s="205" t="inlineStr">
        <is>
          <t>Other</t>
        </is>
      </c>
      <c r="BP56" s="206" t="inlineStr">
        <is>
          <t>Convertible Debt</t>
        </is>
      </c>
      <c r="BQ56" s="207" t="inlineStr">
        <is>
          <t/>
        </is>
      </c>
      <c r="BR56" s="208" t="inlineStr">
        <is>
          <t/>
        </is>
      </c>
      <c r="BS56" s="209" t="inlineStr">
        <is>
          <t>Completed</t>
        </is>
      </c>
      <c r="BT56" s="210" t="n">
        <v>43026.0</v>
      </c>
      <c r="BU56" s="211" t="n">
        <v>1.0</v>
      </c>
      <c r="BV56" s="212" t="inlineStr">
        <is>
          <t>Actual</t>
        </is>
      </c>
      <c r="BW56" s="213" t="inlineStr">
        <is>
          <t/>
        </is>
      </c>
      <c r="BX56" s="214" t="inlineStr">
        <is>
          <t/>
        </is>
      </c>
      <c r="BY56" s="215" t="inlineStr">
        <is>
          <t>Seed Round</t>
        </is>
      </c>
      <c r="BZ56" s="216" t="inlineStr">
        <is>
          <t>Seed</t>
        </is>
      </c>
      <c r="CA56" s="217" t="inlineStr">
        <is>
          <t/>
        </is>
      </c>
      <c r="CB56" s="218" t="inlineStr">
        <is>
          <t>Venture Capital</t>
        </is>
      </c>
      <c r="CC56" s="219" t="inlineStr">
        <is>
          <t/>
        </is>
      </c>
      <c r="CD56" s="220" t="inlineStr">
        <is>
          <t/>
        </is>
      </c>
      <c r="CE56" s="221" t="inlineStr">
        <is>
          <t/>
        </is>
      </c>
      <c r="CF56" s="222" t="inlineStr">
        <is>
          <t>Completed</t>
        </is>
      </c>
      <c r="CG56" s="223" t="inlineStr">
        <is>
          <t>0,40%</t>
        </is>
      </c>
      <c r="CH56" s="224" t="inlineStr">
        <is>
          <t>91</t>
        </is>
      </c>
      <c r="CI56" s="225" t="inlineStr">
        <is>
          <t>-0,34%</t>
        </is>
      </c>
      <c r="CJ56" s="226" t="inlineStr">
        <is>
          <t>-45,80%</t>
        </is>
      </c>
      <c r="CK56" s="227" t="inlineStr">
        <is>
          <t>0,00%</t>
        </is>
      </c>
      <c r="CL56" s="228" t="inlineStr">
        <is>
          <t>28</t>
        </is>
      </c>
      <c r="CM56" s="229" t="inlineStr">
        <is>
          <t>0,80%</t>
        </is>
      </c>
      <c r="CN56" s="230" t="inlineStr">
        <is>
          <t>94</t>
        </is>
      </c>
      <c r="CO56" s="231" t="inlineStr">
        <is>
          <t>0,00%</t>
        </is>
      </c>
      <c r="CP56" s="232" t="inlineStr">
        <is>
          <t>37</t>
        </is>
      </c>
      <c r="CQ56" s="233" t="inlineStr">
        <is>
          <t>0,00%</t>
        </is>
      </c>
      <c r="CR56" s="234" t="inlineStr">
        <is>
          <t>20</t>
        </is>
      </c>
      <c r="CS56" s="235" t="inlineStr">
        <is>
          <t>0,00%</t>
        </is>
      </c>
      <c r="CT56" s="236" t="inlineStr">
        <is>
          <t>18</t>
        </is>
      </c>
      <c r="CU56" s="237" t="inlineStr">
        <is>
          <t>1,60%</t>
        </is>
      </c>
      <c r="CV56" s="238" t="inlineStr">
        <is>
          <t>99</t>
        </is>
      </c>
      <c r="CW56" s="239" t="inlineStr">
        <is>
          <t>0,77x</t>
        </is>
      </c>
      <c r="CX56" s="240" t="inlineStr">
        <is>
          <t>43</t>
        </is>
      </c>
      <c r="CY56" s="241" t="inlineStr">
        <is>
          <t>-0,19x</t>
        </is>
      </c>
      <c r="CZ56" s="242" t="inlineStr">
        <is>
          <t>-19,97%</t>
        </is>
      </c>
      <c r="DA56" s="243" t="inlineStr">
        <is>
          <t>1,12x</t>
        </is>
      </c>
      <c r="DB56" s="244" t="inlineStr">
        <is>
          <t>54</t>
        </is>
      </c>
      <c r="DC56" s="245" t="inlineStr">
        <is>
          <t>0,42x</t>
        </is>
      </c>
      <c r="DD56" s="246" t="inlineStr">
        <is>
          <t>32</t>
        </is>
      </c>
      <c r="DE56" s="247" t="inlineStr">
        <is>
          <t>1,96x</t>
        </is>
      </c>
      <c r="DF56" s="248" t="inlineStr">
        <is>
          <t>66</t>
        </is>
      </c>
      <c r="DG56" s="249" t="inlineStr">
        <is>
          <t>0,28x</t>
        </is>
      </c>
      <c r="DH56" s="250" t="inlineStr">
        <is>
          <t>24</t>
        </is>
      </c>
      <c r="DI56" s="251" t="inlineStr">
        <is>
          <t>0,04x</t>
        </is>
      </c>
      <c r="DJ56" s="252" t="inlineStr">
        <is>
          <t>7</t>
        </is>
      </c>
      <c r="DK56" s="253" t="inlineStr">
        <is>
          <t>0,79x</t>
        </is>
      </c>
      <c r="DL56" s="254" t="inlineStr">
        <is>
          <t>46</t>
        </is>
      </c>
      <c r="DM56" s="255" t="inlineStr">
        <is>
          <t>710</t>
        </is>
      </c>
      <c r="DN56" s="256" t="inlineStr">
        <is>
          <t>51</t>
        </is>
      </c>
      <c r="DO56" s="257" t="inlineStr">
        <is>
          <t>7,74%</t>
        </is>
      </c>
      <c r="DP56" s="258" t="inlineStr">
        <is>
          <t>31</t>
        </is>
      </c>
      <c r="DQ56" s="259" t="inlineStr">
        <is>
          <t>2</t>
        </is>
      </c>
      <c r="DR56" s="260" t="inlineStr">
        <is>
          <t>6,90%</t>
        </is>
      </c>
      <c r="DS56" s="261" t="inlineStr">
        <is>
          <t>10</t>
        </is>
      </c>
      <c r="DT56" s="262" t="inlineStr">
        <is>
          <t>0</t>
        </is>
      </c>
      <c r="DU56" s="263" t="inlineStr">
        <is>
          <t>0,00%</t>
        </is>
      </c>
      <c r="DV56" s="264" t="inlineStr">
        <is>
          <t>294</t>
        </is>
      </c>
      <c r="DW56" s="265" t="inlineStr">
        <is>
          <t>4</t>
        </is>
      </c>
      <c r="DX56" s="266" t="inlineStr">
        <is>
          <t>1,38%</t>
        </is>
      </c>
      <c r="DY56" s="267" t="inlineStr">
        <is>
          <t>PitchBook Research</t>
        </is>
      </c>
      <c r="DZ56" s="786">
        <f>HYPERLINK("https://my.pitchbook.com?c=168588-10", "View company online")</f>
      </c>
    </row>
    <row r="57">
      <c r="A57" s="9" t="inlineStr">
        <is>
          <t>185771-80</t>
        </is>
      </c>
      <c r="B57" s="10" t="inlineStr">
        <is>
          <t>Synple</t>
        </is>
      </c>
      <c r="C57" s="11" t="inlineStr">
        <is>
          <t/>
        </is>
      </c>
      <c r="D57" s="12" t="inlineStr">
        <is>
          <t/>
        </is>
      </c>
      <c r="E57" s="13" t="inlineStr">
        <is>
          <t>185771-80</t>
        </is>
      </c>
      <c r="F57" s="14" t="inlineStr">
        <is>
          <t>Developer of a smart logistical collaboration software created to reduce truck driver's number of empty runs and Co2 emission. The company's smart logistical collaboration software aims to improve the transport sector's effectiveness by mutual exchange of freight between transporters, optimal use of your trucks and matching freight with capacity, enabling transporters to easily manage freight, increase profit, reduce CO2 emissions and to avoid empty kilometers running.</t>
        </is>
      </c>
      <c r="G57" s="15" t="inlineStr">
        <is>
          <t>Information Technology</t>
        </is>
      </c>
      <c r="H57" s="16" t="inlineStr">
        <is>
          <t>Software</t>
        </is>
      </c>
      <c r="I57" s="17" t="inlineStr">
        <is>
          <t>Business/Productivity Software</t>
        </is>
      </c>
      <c r="J57" s="18" t="inlineStr">
        <is>
          <t>Business/Productivity Software*; Other Transportation</t>
        </is>
      </c>
      <c r="K57" s="19" t="inlineStr">
        <is>
          <t>SaaS</t>
        </is>
      </c>
      <c r="L57" s="20" t="inlineStr">
        <is>
          <t>Venture Capital-Backed</t>
        </is>
      </c>
      <c r="M57" s="21" t="n">
        <v>1.1</v>
      </c>
      <c r="N57" s="22" t="inlineStr">
        <is>
          <t>Generating Revenue</t>
        </is>
      </c>
      <c r="O57" s="23" t="inlineStr">
        <is>
          <t>Privately Held (backing)</t>
        </is>
      </c>
      <c r="P57" s="24" t="inlineStr">
        <is>
          <t>Venture Capital</t>
        </is>
      </c>
      <c r="Q57" s="25" t="inlineStr">
        <is>
          <t>synple.eu</t>
        </is>
      </c>
      <c r="R57" s="26" t="inlineStr">
        <is>
          <t/>
        </is>
      </c>
      <c r="S57" s="27" t="inlineStr">
        <is>
          <t/>
        </is>
      </c>
      <c r="T57" s="28" t="inlineStr">
        <is>
          <t/>
        </is>
      </c>
      <c r="U57" s="29" t="n">
        <v>2015.0</v>
      </c>
      <c r="V57" s="30" t="inlineStr">
        <is>
          <t/>
        </is>
      </c>
      <c r="W57" s="31" t="inlineStr">
        <is>
          <t/>
        </is>
      </c>
      <c r="X57" s="32" t="inlineStr">
        <is>
          <t/>
        </is>
      </c>
      <c r="Y57" s="33" t="inlineStr">
        <is>
          <t/>
        </is>
      </c>
      <c r="Z57" s="34" t="inlineStr">
        <is>
          <t/>
        </is>
      </c>
      <c r="AA57" s="35" t="inlineStr">
        <is>
          <t/>
        </is>
      </c>
      <c r="AB57" s="36" t="inlineStr">
        <is>
          <t/>
        </is>
      </c>
      <c r="AC57" s="37" t="inlineStr">
        <is>
          <t/>
        </is>
      </c>
      <c r="AD57" s="38" t="inlineStr">
        <is>
          <t/>
        </is>
      </c>
      <c r="AE57" s="39" t="inlineStr">
        <is>
          <t>170639-56P</t>
        </is>
      </c>
      <c r="AF57" s="40" t="inlineStr">
        <is>
          <t>Roderick Rodenburg</t>
        </is>
      </c>
      <c r="AG57" s="41" t="inlineStr">
        <is>
          <t>Co-Founder</t>
        </is>
      </c>
      <c r="AH57" s="42" t="inlineStr">
        <is>
          <t>roderick@synple.eu</t>
        </is>
      </c>
      <c r="AI57" s="43" t="inlineStr">
        <is>
          <t>+31 (0)65 363 7281</t>
        </is>
      </c>
      <c r="AJ57" s="44" t="inlineStr">
        <is>
          <t>Breda, Netherlands</t>
        </is>
      </c>
      <c r="AK57" s="45" t="inlineStr">
        <is>
          <t>Meerten Verhoffstraat 1 (B2)</t>
        </is>
      </c>
      <c r="AL57" s="46" t="inlineStr">
        <is>
          <t/>
        </is>
      </c>
      <c r="AM57" s="47" t="inlineStr">
        <is>
          <t>Breda</t>
        </is>
      </c>
      <c r="AN57" s="48" t="inlineStr">
        <is>
          <t/>
        </is>
      </c>
      <c r="AO57" s="49" t="inlineStr">
        <is>
          <t>4811 AR</t>
        </is>
      </c>
      <c r="AP57" s="50" t="inlineStr">
        <is>
          <t>Netherlands</t>
        </is>
      </c>
      <c r="AQ57" s="51" t="inlineStr">
        <is>
          <t>+31 (0)65 363 7281</t>
        </is>
      </c>
      <c r="AR57" s="52" t="inlineStr">
        <is>
          <t/>
        </is>
      </c>
      <c r="AS57" s="53" t="inlineStr">
        <is>
          <t>info@synple.eu</t>
        </is>
      </c>
      <c r="AT57" s="54" t="inlineStr">
        <is>
          <t>Europe</t>
        </is>
      </c>
      <c r="AU57" s="55" t="inlineStr">
        <is>
          <t>Western Europe</t>
        </is>
      </c>
      <c r="AV57" s="56" t="inlineStr">
        <is>
          <t>The company raised EUR 1.1 million of venture funding from Mainport Innovation Fund II and Newion Investment Management on September 1, 2017. The funds will be used for local and international expansion.</t>
        </is>
      </c>
      <c r="AW57" s="57" t="inlineStr">
        <is>
          <t>Mainport Innovation Fund II, Newion Investment Management</t>
        </is>
      </c>
      <c r="AX57" s="58" t="n">
        <v>2.0</v>
      </c>
      <c r="AY57" s="59" t="inlineStr">
        <is>
          <t/>
        </is>
      </c>
      <c r="AZ57" s="60" t="inlineStr">
        <is>
          <t/>
        </is>
      </c>
      <c r="BA57" s="61" t="inlineStr">
        <is>
          <t/>
        </is>
      </c>
      <c r="BB57" s="62" t="inlineStr">
        <is>
          <t>Mainport Innovation Fund II (www.mainportinnovationfund.nl), Newion Investment Management (www.newion-investments.com)</t>
        </is>
      </c>
      <c r="BC57" s="63" t="inlineStr">
        <is>
          <t/>
        </is>
      </c>
      <c r="BD57" s="64" t="inlineStr">
        <is>
          <t/>
        </is>
      </c>
      <c r="BE57" s="65" t="inlineStr">
        <is>
          <t/>
        </is>
      </c>
      <c r="BF57" s="66" t="inlineStr">
        <is>
          <t>Ingen Housz (Advisor: General)</t>
        </is>
      </c>
      <c r="BG57" s="67" t="n">
        <v>42979.0</v>
      </c>
      <c r="BH57" s="68" t="n">
        <v>1.1</v>
      </c>
      <c r="BI57" s="69" t="inlineStr">
        <is>
          <t>Actual</t>
        </is>
      </c>
      <c r="BJ57" s="70" t="inlineStr">
        <is>
          <t/>
        </is>
      </c>
      <c r="BK57" s="71" t="inlineStr">
        <is>
          <t/>
        </is>
      </c>
      <c r="BL57" s="72" t="inlineStr">
        <is>
          <t>Early Stage VC</t>
        </is>
      </c>
      <c r="BM57" s="73" t="inlineStr">
        <is>
          <t/>
        </is>
      </c>
      <c r="BN57" s="74" t="inlineStr">
        <is>
          <t/>
        </is>
      </c>
      <c r="BO57" s="75" t="inlineStr">
        <is>
          <t>Venture Capital</t>
        </is>
      </c>
      <c r="BP57" s="76" t="inlineStr">
        <is>
          <t/>
        </is>
      </c>
      <c r="BQ57" s="77" t="inlineStr">
        <is>
          <t/>
        </is>
      </c>
      <c r="BR57" s="78" t="inlineStr">
        <is>
          <t/>
        </is>
      </c>
      <c r="BS57" s="79" t="inlineStr">
        <is>
          <t>Completed</t>
        </is>
      </c>
      <c r="BT57" s="80" t="n">
        <v>42979.0</v>
      </c>
      <c r="BU57" s="81" t="n">
        <v>1.1</v>
      </c>
      <c r="BV57" s="82" t="inlineStr">
        <is>
          <t>Actual</t>
        </is>
      </c>
      <c r="BW57" s="83" t="inlineStr">
        <is>
          <t/>
        </is>
      </c>
      <c r="BX57" s="84" t="inlineStr">
        <is>
          <t/>
        </is>
      </c>
      <c r="BY57" s="85" t="inlineStr">
        <is>
          <t>Early Stage VC</t>
        </is>
      </c>
      <c r="BZ57" s="86" t="inlineStr">
        <is>
          <t/>
        </is>
      </c>
      <c r="CA57" s="87" t="inlineStr">
        <is>
          <t/>
        </is>
      </c>
      <c r="CB57" s="88" t="inlineStr">
        <is>
          <t>Venture Capital</t>
        </is>
      </c>
      <c r="CC57" s="89" t="inlineStr">
        <is>
          <t/>
        </is>
      </c>
      <c r="CD57" s="90" t="inlineStr">
        <is>
          <t/>
        </is>
      </c>
      <c r="CE57" s="91" t="inlineStr">
        <is>
          <t/>
        </is>
      </c>
      <c r="CF57" s="92" t="inlineStr">
        <is>
          <t>Completed</t>
        </is>
      </c>
      <c r="CG57" s="93" t="inlineStr">
        <is>
          <t>0,00%</t>
        </is>
      </c>
      <c r="CH57" s="94" t="inlineStr">
        <is>
          <t>33</t>
        </is>
      </c>
      <c r="CI57" s="95" t="inlineStr">
        <is>
          <t>0,00%</t>
        </is>
      </c>
      <c r="CJ57" s="96" t="inlineStr">
        <is>
          <t>0,00%</t>
        </is>
      </c>
      <c r="CK57" s="97" t="inlineStr">
        <is>
          <t>0,00%</t>
        </is>
      </c>
      <c r="CL57" s="98" t="inlineStr">
        <is>
          <t>28</t>
        </is>
      </c>
      <c r="CM57" s="99" t="inlineStr">
        <is>
          <t/>
        </is>
      </c>
      <c r="CN57" s="100" t="inlineStr">
        <is>
          <t/>
        </is>
      </c>
      <c r="CO57" s="101" t="inlineStr">
        <is>
          <t/>
        </is>
      </c>
      <c r="CP57" s="102" t="inlineStr">
        <is>
          <t/>
        </is>
      </c>
      <c r="CQ57" s="103" t="inlineStr">
        <is>
          <t>0,00%</t>
        </is>
      </c>
      <c r="CR57" s="104" t="inlineStr">
        <is>
          <t>20</t>
        </is>
      </c>
      <c r="CS57" s="105" t="inlineStr">
        <is>
          <t/>
        </is>
      </c>
      <c r="CT57" s="106" t="inlineStr">
        <is>
          <t/>
        </is>
      </c>
      <c r="CU57" s="107" t="inlineStr">
        <is>
          <t/>
        </is>
      </c>
      <c r="CV57" s="108" t="inlineStr">
        <is>
          <t/>
        </is>
      </c>
      <c r="CW57" s="109" t="inlineStr">
        <is>
          <t>0,11x</t>
        </is>
      </c>
      <c r="CX57" s="110" t="inlineStr">
        <is>
          <t>9</t>
        </is>
      </c>
      <c r="CY57" s="111" t="inlineStr">
        <is>
          <t>0,00x</t>
        </is>
      </c>
      <c r="CZ57" s="112" t="inlineStr">
        <is>
          <t>0,00%</t>
        </is>
      </c>
      <c r="DA57" s="113" t="inlineStr">
        <is>
          <t>0,11x</t>
        </is>
      </c>
      <c r="DB57" s="114" t="inlineStr">
        <is>
          <t>10</t>
        </is>
      </c>
      <c r="DC57" s="115" t="inlineStr">
        <is>
          <t/>
        </is>
      </c>
      <c r="DD57" s="116" t="inlineStr">
        <is>
          <t/>
        </is>
      </c>
      <c r="DE57" s="117" t="inlineStr">
        <is>
          <t/>
        </is>
      </c>
      <c r="DF57" s="118" t="inlineStr">
        <is>
          <t/>
        </is>
      </c>
      <c r="DG57" s="119" t="inlineStr">
        <is>
          <t>0,11x</t>
        </is>
      </c>
      <c r="DH57" s="120" t="inlineStr">
        <is>
          <t>11</t>
        </is>
      </c>
      <c r="DI57" s="121" t="inlineStr">
        <is>
          <t/>
        </is>
      </c>
      <c r="DJ57" s="122" t="inlineStr">
        <is>
          <t/>
        </is>
      </c>
      <c r="DK57" s="123" t="inlineStr">
        <is>
          <t/>
        </is>
      </c>
      <c r="DL57" s="124" t="inlineStr">
        <is>
          <t/>
        </is>
      </c>
      <c r="DM57" s="125" t="inlineStr">
        <is>
          <t/>
        </is>
      </c>
      <c r="DN57" s="126" t="inlineStr">
        <is>
          <t/>
        </is>
      </c>
      <c r="DO57" s="127" t="inlineStr">
        <is>
          <t/>
        </is>
      </c>
      <c r="DP57" s="128" t="inlineStr">
        <is>
          <t/>
        </is>
      </c>
      <c r="DQ57" s="129" t="inlineStr">
        <is>
          <t/>
        </is>
      </c>
      <c r="DR57" s="130" t="inlineStr">
        <is>
          <t/>
        </is>
      </c>
      <c r="DS57" s="131" t="inlineStr">
        <is>
          <t>4</t>
        </is>
      </c>
      <c r="DT57" s="132" t="inlineStr">
        <is>
          <t>0</t>
        </is>
      </c>
      <c r="DU57" s="133" t="inlineStr">
        <is>
          <t>0,00%</t>
        </is>
      </c>
      <c r="DV57" s="134" t="inlineStr">
        <is>
          <t/>
        </is>
      </c>
      <c r="DW57" s="135" t="inlineStr">
        <is>
          <t/>
        </is>
      </c>
      <c r="DX57" s="136" t="inlineStr">
        <is>
          <t/>
        </is>
      </c>
      <c r="DY57" s="137" t="inlineStr">
        <is>
          <t>PitchBook Research</t>
        </is>
      </c>
      <c r="DZ57" s="785">
        <f>HYPERLINK("https://my.pitchbook.com?c=185771-80", "View company online")</f>
      </c>
    </row>
    <row r="58">
      <c r="A58" s="139" t="inlineStr">
        <is>
          <t>173245-96</t>
        </is>
      </c>
      <c r="B58" s="140" t="inlineStr">
        <is>
          <t>BON Games</t>
        </is>
      </c>
      <c r="C58" s="141" t="inlineStr">
        <is>
          <t/>
        </is>
      </c>
      <c r="D58" s="142" t="inlineStr">
        <is>
          <t/>
        </is>
      </c>
      <c r="E58" s="143" t="inlineStr">
        <is>
          <t>173245-96</t>
        </is>
      </c>
      <c r="F58" s="144" t="inlineStr">
        <is>
          <t>Owner and operator of mobile game studio intended to develop mobile tycoon games. The company's game designing platform designs and publishes a range of video games that have animated characters letting its users stay engaged in war-mimicking gaming environments, enabling gaming enthusiasts to play single and multi-player downloadable games across multiple platforms.</t>
        </is>
      </c>
      <c r="G58" s="145" t="inlineStr">
        <is>
          <t>Information Technology</t>
        </is>
      </c>
      <c r="H58" s="146" t="inlineStr">
        <is>
          <t>Software</t>
        </is>
      </c>
      <c r="I58" s="147" t="inlineStr">
        <is>
          <t>Entertainment Software</t>
        </is>
      </c>
      <c r="J58" s="148" t="inlineStr">
        <is>
          <t>Entertainment Software*; Application Software; Social/Platform Software</t>
        </is>
      </c>
      <c r="K58" s="149" t="inlineStr">
        <is>
          <t>Mobile</t>
        </is>
      </c>
      <c r="L58" s="150" t="inlineStr">
        <is>
          <t>Angel-Backed</t>
        </is>
      </c>
      <c r="M58" s="151" t="n">
        <v>1.19</v>
      </c>
      <c r="N58" s="152" t="inlineStr">
        <is>
          <t>Generating Revenue</t>
        </is>
      </c>
      <c r="O58" s="153" t="inlineStr">
        <is>
          <t>Privately Held (backing)</t>
        </is>
      </c>
      <c r="P58" s="154" t="inlineStr">
        <is>
          <t>Pre-venture</t>
        </is>
      </c>
      <c r="Q58" s="155" t="inlineStr">
        <is>
          <t>www.bongames.fi</t>
        </is>
      </c>
      <c r="R58" s="156" t="inlineStr">
        <is>
          <t/>
        </is>
      </c>
      <c r="S58" s="157" t="inlineStr">
        <is>
          <t/>
        </is>
      </c>
      <c r="T58" s="158" t="inlineStr">
        <is>
          <t/>
        </is>
      </c>
      <c r="U58" s="159" t="n">
        <v>2016.0</v>
      </c>
      <c r="V58" s="160" t="inlineStr">
        <is>
          <t/>
        </is>
      </c>
      <c r="W58" s="161" t="inlineStr">
        <is>
          <t/>
        </is>
      </c>
      <c r="X58" s="162" t="inlineStr">
        <is>
          <t/>
        </is>
      </c>
      <c r="Y58" s="163" t="inlineStr">
        <is>
          <t/>
        </is>
      </c>
      <c r="Z58" s="164" t="inlineStr">
        <is>
          <t/>
        </is>
      </c>
      <c r="AA58" s="165" t="inlineStr">
        <is>
          <t/>
        </is>
      </c>
      <c r="AB58" s="166" t="inlineStr">
        <is>
          <t/>
        </is>
      </c>
      <c r="AC58" s="167" t="inlineStr">
        <is>
          <t/>
        </is>
      </c>
      <c r="AD58" s="168" t="inlineStr">
        <is>
          <t/>
        </is>
      </c>
      <c r="AE58" s="169" t="inlineStr">
        <is>
          <t>62974-90P</t>
        </is>
      </c>
      <c r="AF58" s="170" t="inlineStr">
        <is>
          <t>Ilkka Immonen</t>
        </is>
      </c>
      <c r="AG58" s="171" t="inlineStr">
        <is>
          <t>Co-Founder &amp; Chief Executive Officer</t>
        </is>
      </c>
      <c r="AH58" s="172" t="inlineStr">
        <is>
          <t>ilkka@bongames.fi</t>
        </is>
      </c>
      <c r="AI58" s="173" t="inlineStr">
        <is>
          <t>+358 (0)40 831 1987</t>
        </is>
      </c>
      <c r="AJ58" s="174" t="inlineStr">
        <is>
          <t>Tampere, Finland</t>
        </is>
      </c>
      <c r="AK58" s="175" t="inlineStr">
        <is>
          <t>Hameenkatu 17 A 6-7</t>
        </is>
      </c>
      <c r="AL58" s="176" t="inlineStr">
        <is>
          <t/>
        </is>
      </c>
      <c r="AM58" s="177" t="inlineStr">
        <is>
          <t>Tampere</t>
        </is>
      </c>
      <c r="AN58" s="178" t="inlineStr">
        <is>
          <t/>
        </is>
      </c>
      <c r="AO58" s="179" t="inlineStr">
        <is>
          <t>33200</t>
        </is>
      </c>
      <c r="AP58" s="180" t="inlineStr">
        <is>
          <t>Finland</t>
        </is>
      </c>
      <c r="AQ58" s="181" t="inlineStr">
        <is>
          <t/>
        </is>
      </c>
      <c r="AR58" s="182" t="inlineStr">
        <is>
          <t/>
        </is>
      </c>
      <c r="AS58" s="183" t="inlineStr">
        <is>
          <t/>
        </is>
      </c>
      <c r="AT58" s="184" t="inlineStr">
        <is>
          <t>Europe</t>
        </is>
      </c>
      <c r="AU58" s="185" t="inlineStr">
        <is>
          <t>Northern Europe</t>
        </is>
      </c>
      <c r="AV58" s="186" t="inlineStr">
        <is>
          <t>The company raised $1.4 million of seed funding from Nurmiranta, Polkuni and other undisclosed investors on November 6, 2017.</t>
        </is>
      </c>
      <c r="AW58" s="187" t="inlineStr">
        <is>
          <t>Nurmiranta, Polkuni</t>
        </is>
      </c>
      <c r="AX58" s="188" t="n">
        <v>2.0</v>
      </c>
      <c r="AY58" s="189" t="inlineStr">
        <is>
          <t/>
        </is>
      </c>
      <c r="AZ58" s="190" t="inlineStr">
        <is>
          <t/>
        </is>
      </c>
      <c r="BA58" s="191" t="inlineStr">
        <is>
          <t/>
        </is>
      </c>
      <c r="BB58" s="192" t="inlineStr">
        <is>
          <t>Nurmiranta (www.nurmiranta.fi)</t>
        </is>
      </c>
      <c r="BC58" s="193" t="inlineStr">
        <is>
          <t/>
        </is>
      </c>
      <c r="BD58" s="194" t="inlineStr">
        <is>
          <t/>
        </is>
      </c>
      <c r="BE58" s="195" t="inlineStr">
        <is>
          <t/>
        </is>
      </c>
      <c r="BF58" s="196" t="inlineStr">
        <is>
          <t/>
        </is>
      </c>
      <c r="BG58" s="197" t="n">
        <v>43045.0</v>
      </c>
      <c r="BH58" s="198" t="n">
        <v>1.19</v>
      </c>
      <c r="BI58" s="199" t="inlineStr">
        <is>
          <t>Actual</t>
        </is>
      </c>
      <c r="BJ58" s="200" t="inlineStr">
        <is>
          <t/>
        </is>
      </c>
      <c r="BK58" s="201" t="inlineStr">
        <is>
          <t/>
        </is>
      </c>
      <c r="BL58" s="202" t="inlineStr">
        <is>
          <t>Seed Round</t>
        </is>
      </c>
      <c r="BM58" s="203" t="inlineStr">
        <is>
          <t>Seed</t>
        </is>
      </c>
      <c r="BN58" s="204" t="inlineStr">
        <is>
          <t/>
        </is>
      </c>
      <c r="BO58" s="205" t="inlineStr">
        <is>
          <t>Individual</t>
        </is>
      </c>
      <c r="BP58" s="206" t="inlineStr">
        <is>
          <t/>
        </is>
      </c>
      <c r="BQ58" s="207" t="inlineStr">
        <is>
          <t/>
        </is>
      </c>
      <c r="BR58" s="208" t="inlineStr">
        <is>
          <t/>
        </is>
      </c>
      <c r="BS58" s="209" t="inlineStr">
        <is>
          <t>Completed</t>
        </is>
      </c>
      <c r="BT58" s="210" t="n">
        <v>43045.0</v>
      </c>
      <c r="BU58" s="211" t="n">
        <v>1.19</v>
      </c>
      <c r="BV58" s="212" t="inlineStr">
        <is>
          <t>Actual</t>
        </is>
      </c>
      <c r="BW58" s="213" t="inlineStr">
        <is>
          <t/>
        </is>
      </c>
      <c r="BX58" s="214" t="inlineStr">
        <is>
          <t/>
        </is>
      </c>
      <c r="BY58" s="215" t="inlineStr">
        <is>
          <t>Seed Round</t>
        </is>
      </c>
      <c r="BZ58" s="216" t="inlineStr">
        <is>
          <t>Seed</t>
        </is>
      </c>
      <c r="CA58" s="217" t="inlineStr">
        <is>
          <t/>
        </is>
      </c>
      <c r="CB58" s="218" t="inlineStr">
        <is>
          <t>Individual</t>
        </is>
      </c>
      <c r="CC58" s="219" t="inlineStr">
        <is>
          <t/>
        </is>
      </c>
      <c r="CD58" s="220" t="inlineStr">
        <is>
          <t/>
        </is>
      </c>
      <c r="CE58" s="221" t="inlineStr">
        <is>
          <t/>
        </is>
      </c>
      <c r="CF58" s="222" t="inlineStr">
        <is>
          <t>Completed</t>
        </is>
      </c>
      <c r="CG58" s="223" t="inlineStr">
        <is>
          <t/>
        </is>
      </c>
      <c r="CH58" s="224" t="inlineStr">
        <is>
          <t/>
        </is>
      </c>
      <c r="CI58" s="225" t="inlineStr">
        <is>
          <t/>
        </is>
      </c>
      <c r="CJ58" s="226" t="inlineStr">
        <is>
          <t/>
        </is>
      </c>
      <c r="CK58" s="227" t="inlineStr">
        <is>
          <t/>
        </is>
      </c>
      <c r="CL58" s="228" t="inlineStr">
        <is>
          <t/>
        </is>
      </c>
      <c r="CM58" s="229" t="inlineStr">
        <is>
          <t/>
        </is>
      </c>
      <c r="CN58" s="230" t="inlineStr">
        <is>
          <t/>
        </is>
      </c>
      <c r="CO58" s="231" t="inlineStr">
        <is>
          <t/>
        </is>
      </c>
      <c r="CP58" s="232" t="inlineStr">
        <is>
          <t/>
        </is>
      </c>
      <c r="CQ58" s="233" t="inlineStr">
        <is>
          <t/>
        </is>
      </c>
      <c r="CR58" s="234" t="inlineStr">
        <is>
          <t/>
        </is>
      </c>
      <c r="CS58" s="235" t="inlineStr">
        <is>
          <t/>
        </is>
      </c>
      <c r="CT58" s="236" t="inlineStr">
        <is>
          <t/>
        </is>
      </c>
      <c r="CU58" s="237" t="inlineStr">
        <is>
          <t/>
        </is>
      </c>
      <c r="CV58" s="238" t="inlineStr">
        <is>
          <t/>
        </is>
      </c>
      <c r="CW58" s="239" t="inlineStr">
        <is>
          <t/>
        </is>
      </c>
      <c r="CX58" s="240" t="inlineStr">
        <is>
          <t/>
        </is>
      </c>
      <c r="CY58" s="241" t="inlineStr">
        <is>
          <t/>
        </is>
      </c>
      <c r="CZ58" s="242" t="inlineStr">
        <is>
          <t/>
        </is>
      </c>
      <c r="DA58" s="243" t="inlineStr">
        <is>
          <t/>
        </is>
      </c>
      <c r="DB58" s="244" t="inlineStr">
        <is>
          <t/>
        </is>
      </c>
      <c r="DC58" s="245" t="inlineStr">
        <is>
          <t/>
        </is>
      </c>
      <c r="DD58" s="246" t="inlineStr">
        <is>
          <t/>
        </is>
      </c>
      <c r="DE58" s="247" t="inlineStr">
        <is>
          <t/>
        </is>
      </c>
      <c r="DF58" s="248" t="inlineStr">
        <is>
          <t/>
        </is>
      </c>
      <c r="DG58" s="249" t="inlineStr">
        <is>
          <t/>
        </is>
      </c>
      <c r="DH58" s="250" t="inlineStr">
        <is>
          <t/>
        </is>
      </c>
      <c r="DI58" s="251" t="inlineStr">
        <is>
          <t/>
        </is>
      </c>
      <c r="DJ58" s="252" t="inlineStr">
        <is>
          <t/>
        </is>
      </c>
      <c r="DK58" s="253" t="inlineStr">
        <is>
          <t/>
        </is>
      </c>
      <c r="DL58" s="254" t="inlineStr">
        <is>
          <t/>
        </is>
      </c>
      <c r="DM58" s="255" t="inlineStr">
        <is>
          <t/>
        </is>
      </c>
      <c r="DN58" s="256" t="inlineStr">
        <is>
          <t/>
        </is>
      </c>
      <c r="DO58" s="257" t="inlineStr">
        <is>
          <t/>
        </is>
      </c>
      <c r="DP58" s="258" t="inlineStr">
        <is>
          <t/>
        </is>
      </c>
      <c r="DQ58" s="259" t="inlineStr">
        <is>
          <t/>
        </is>
      </c>
      <c r="DR58" s="260" t="inlineStr">
        <is>
          <t/>
        </is>
      </c>
      <c r="DS58" s="261" t="inlineStr">
        <is>
          <t/>
        </is>
      </c>
      <c r="DT58" s="262" t="inlineStr">
        <is>
          <t/>
        </is>
      </c>
      <c r="DU58" s="263" t="inlineStr">
        <is>
          <t/>
        </is>
      </c>
      <c r="DV58" s="264" t="inlineStr">
        <is>
          <t/>
        </is>
      </c>
      <c r="DW58" s="265" t="inlineStr">
        <is>
          <t/>
        </is>
      </c>
      <c r="DX58" s="266" t="inlineStr">
        <is>
          <t/>
        </is>
      </c>
      <c r="DY58" s="267" t="inlineStr">
        <is>
          <t>PitchBook Research</t>
        </is>
      </c>
      <c r="DZ58" s="786">
        <f>HYPERLINK("https://my.pitchbook.com?c=173245-96", "View company online")</f>
      </c>
    </row>
    <row r="59">
      <c r="A59" s="9" t="inlineStr">
        <is>
          <t>108648-91</t>
        </is>
      </c>
      <c r="B59" s="10" t="inlineStr">
        <is>
          <t>BoatBureau</t>
        </is>
      </c>
      <c r="C59" s="11" t="inlineStr">
        <is>
          <t/>
        </is>
      </c>
      <c r="D59" s="12" t="inlineStr">
        <is>
          <t/>
        </is>
      </c>
      <c r="E59" s="13" t="inlineStr">
        <is>
          <t>108648-91</t>
        </is>
      </c>
      <c r="F59" s="14" t="inlineStr">
        <is>
          <t>Provider of an online boat rental platform designed to make it easier for all types of customers to rent an online boat to sail anywhere in the world. The company's online boat rental platform provides an updated web platform with the immediate availability of boats, enabling boat owners to list their boats and boat seekers to find boats available for rent.</t>
        </is>
      </c>
      <c r="G59" s="15" t="inlineStr">
        <is>
          <t>Information Technology</t>
        </is>
      </c>
      <c r="H59" s="16" t="inlineStr">
        <is>
          <t>Software</t>
        </is>
      </c>
      <c r="I59" s="17" t="inlineStr">
        <is>
          <t>Social/Platform Software</t>
        </is>
      </c>
      <c r="J59" s="18" t="inlineStr">
        <is>
          <t>Social/Platform Software*; Other Services (B2C Non-Financial)</t>
        </is>
      </c>
      <c r="K59" s="19" t="inlineStr">
        <is>
          <t>SaaS</t>
        </is>
      </c>
      <c r="L59" s="20" t="inlineStr">
        <is>
          <t>Venture Capital-Backed</t>
        </is>
      </c>
      <c r="M59" s="21" t="n">
        <v>1.2</v>
      </c>
      <c r="N59" s="22" t="inlineStr">
        <is>
          <t>Generating Revenue</t>
        </is>
      </c>
      <c r="O59" s="23" t="inlineStr">
        <is>
          <t>Privately Held (backing)</t>
        </is>
      </c>
      <c r="P59" s="24" t="inlineStr">
        <is>
          <t>Venture Capital</t>
        </is>
      </c>
      <c r="Q59" s="25" t="inlineStr">
        <is>
          <t>www.boatbureau.es</t>
        </is>
      </c>
      <c r="R59" s="26" t="n">
        <v>14.0</v>
      </c>
      <c r="S59" s="27" t="inlineStr">
        <is>
          <t/>
        </is>
      </c>
      <c r="T59" s="28" t="inlineStr">
        <is>
          <t/>
        </is>
      </c>
      <c r="U59" s="29" t="n">
        <v>2011.0</v>
      </c>
      <c r="V59" s="30" t="inlineStr">
        <is>
          <t/>
        </is>
      </c>
      <c r="W59" s="31" t="inlineStr">
        <is>
          <t/>
        </is>
      </c>
      <c r="X59" s="32" t="inlineStr">
        <is>
          <t/>
        </is>
      </c>
      <c r="Y59" s="33" t="n">
        <v>4.74551</v>
      </c>
      <c r="Z59" s="34" t="inlineStr">
        <is>
          <t/>
        </is>
      </c>
      <c r="AA59" s="35" t="inlineStr">
        <is>
          <t/>
        </is>
      </c>
      <c r="AB59" s="36" t="inlineStr">
        <is>
          <t/>
        </is>
      </c>
      <c r="AC59" s="37" t="inlineStr">
        <is>
          <t/>
        </is>
      </c>
      <c r="AD59" s="38" t="inlineStr">
        <is>
          <t>FY 2017</t>
        </is>
      </c>
      <c r="AE59" s="39" t="inlineStr">
        <is>
          <t>126324-37P</t>
        </is>
      </c>
      <c r="AF59" s="40" t="inlineStr">
        <is>
          <t>Josep Mercadé Gil</t>
        </is>
      </c>
      <c r="AG59" s="41" t="inlineStr">
        <is>
          <t>Co-Founder &amp; Chief Executive Officer</t>
        </is>
      </c>
      <c r="AH59" s="42" t="inlineStr">
        <is>
          <t>pep.mercade@boatbureau.com</t>
        </is>
      </c>
      <c r="AI59" s="43" t="inlineStr">
        <is>
          <t>+34 93 172 0284</t>
        </is>
      </c>
      <c r="AJ59" s="44" t="inlineStr">
        <is>
          <t>Barcelona, Spain</t>
        </is>
      </c>
      <c r="AK59" s="45" t="inlineStr">
        <is>
          <t>Caspe 162, 2º</t>
        </is>
      </c>
      <c r="AL59" s="46" t="inlineStr">
        <is>
          <t/>
        </is>
      </c>
      <c r="AM59" s="47" t="inlineStr">
        <is>
          <t>Barcelona</t>
        </is>
      </c>
      <c r="AN59" s="48" t="inlineStr">
        <is>
          <t/>
        </is>
      </c>
      <c r="AO59" s="49" t="inlineStr">
        <is>
          <t>08013</t>
        </is>
      </c>
      <c r="AP59" s="50" t="inlineStr">
        <is>
          <t>Spain</t>
        </is>
      </c>
      <c r="AQ59" s="51" t="inlineStr">
        <is>
          <t>+34 93 172 0284</t>
        </is>
      </c>
      <c r="AR59" s="52" t="inlineStr">
        <is>
          <t/>
        </is>
      </c>
      <c r="AS59" s="53" t="inlineStr">
        <is>
          <t>info@boatbureau.com</t>
        </is>
      </c>
      <c r="AT59" s="54" t="inlineStr">
        <is>
          <t>Europe</t>
        </is>
      </c>
      <c r="AU59" s="55" t="inlineStr">
        <is>
          <t>Southern Europe</t>
        </is>
      </c>
      <c r="AV59" s="56" t="inlineStr">
        <is>
          <t>The company joined BStartup10 and raised EUR 500,000 of venture funding from lead investors Sabadell Venture Capital and Nero Ventures on October 23, 2017.</t>
        </is>
      </c>
      <c r="AW59" s="57" t="inlineStr">
        <is>
          <t>BStartup10, ENISA, European Union Agency for Network and Information Security, ICO, IFEM, Intelectium Business Acceleration, Nero Ventures, Sabadell Capital, Unión Europea de Inversiones</t>
        </is>
      </c>
      <c r="AX59" s="58" t="n">
        <v>9.0</v>
      </c>
      <c r="AY59" s="59" t="inlineStr">
        <is>
          <t/>
        </is>
      </c>
      <c r="AZ59" s="60" t="inlineStr">
        <is>
          <t/>
        </is>
      </c>
      <c r="BA59" s="61" t="inlineStr">
        <is>
          <t/>
        </is>
      </c>
      <c r="BB59" s="62" t="inlineStr">
        <is>
          <t>European Union Agency for Network and Information Security (www.enisa.europa.eu), ICO (www.icopolymers.com), Intelectium Business Acceleration (www.intelectium.com), Sabadell Capital (bstartup.bancsabadell.com), Unión Europea de Inversiones (www.europeainversiones.com)</t>
        </is>
      </c>
      <c r="BC59" s="63" t="inlineStr">
        <is>
          <t/>
        </is>
      </c>
      <c r="BD59" s="64" t="inlineStr">
        <is>
          <t/>
        </is>
      </c>
      <c r="BE59" s="65" t="inlineStr">
        <is>
          <t/>
        </is>
      </c>
      <c r="BF59" s="66" t="inlineStr">
        <is>
          <t/>
        </is>
      </c>
      <c r="BG59" s="67" t="inlineStr">
        <is>
          <t/>
        </is>
      </c>
      <c r="BH59" s="68" t="inlineStr">
        <is>
          <t/>
        </is>
      </c>
      <c r="BI59" s="69" t="inlineStr">
        <is>
          <t/>
        </is>
      </c>
      <c r="BJ59" s="70" t="inlineStr">
        <is>
          <t/>
        </is>
      </c>
      <c r="BK59" s="71" t="inlineStr">
        <is>
          <t/>
        </is>
      </c>
      <c r="BL59" s="72" t="inlineStr">
        <is>
          <t>Accelerator/Incubator</t>
        </is>
      </c>
      <c r="BM59" s="73" t="inlineStr">
        <is>
          <t/>
        </is>
      </c>
      <c r="BN59" s="74" t="inlineStr">
        <is>
          <t/>
        </is>
      </c>
      <c r="BO59" s="75" t="inlineStr">
        <is>
          <t>Other</t>
        </is>
      </c>
      <c r="BP59" s="76" t="inlineStr">
        <is>
          <t/>
        </is>
      </c>
      <c r="BQ59" s="77" t="inlineStr">
        <is>
          <t/>
        </is>
      </c>
      <c r="BR59" s="78" t="inlineStr">
        <is>
          <t/>
        </is>
      </c>
      <c r="BS59" s="79" t="inlineStr">
        <is>
          <t>Completed</t>
        </is>
      </c>
      <c r="BT59" s="80" t="n">
        <v>43031.0</v>
      </c>
      <c r="BU59" s="81" t="n">
        <v>0.5</v>
      </c>
      <c r="BV59" s="82" t="inlineStr">
        <is>
          <t>Actual</t>
        </is>
      </c>
      <c r="BW59" s="83" t="inlineStr">
        <is>
          <t/>
        </is>
      </c>
      <c r="BX59" s="84" t="inlineStr">
        <is>
          <t/>
        </is>
      </c>
      <c r="BY59" s="85" t="inlineStr">
        <is>
          <t>Early Stage VC</t>
        </is>
      </c>
      <c r="BZ59" s="86" t="inlineStr">
        <is>
          <t/>
        </is>
      </c>
      <c r="CA59" s="87" t="inlineStr">
        <is>
          <t/>
        </is>
      </c>
      <c r="CB59" s="88" t="inlineStr">
        <is>
          <t>Venture Capital</t>
        </is>
      </c>
      <c r="CC59" s="89" t="inlineStr">
        <is>
          <t/>
        </is>
      </c>
      <c r="CD59" s="90" t="inlineStr">
        <is>
          <t/>
        </is>
      </c>
      <c r="CE59" s="91" t="inlineStr">
        <is>
          <t/>
        </is>
      </c>
      <c r="CF59" s="92" t="inlineStr">
        <is>
          <t>Completed</t>
        </is>
      </c>
      <c r="CG59" s="93" t="inlineStr">
        <is>
          <t>7,13%</t>
        </is>
      </c>
      <c r="CH59" s="94" t="inlineStr">
        <is>
          <t>100</t>
        </is>
      </c>
      <c r="CI59" s="95" t="inlineStr">
        <is>
          <t>-0,01%</t>
        </is>
      </c>
      <c r="CJ59" s="96" t="inlineStr">
        <is>
          <t>-0,19%</t>
        </is>
      </c>
      <c r="CK59" s="97" t="inlineStr">
        <is>
          <t>1,90%</t>
        </is>
      </c>
      <c r="CL59" s="98" t="inlineStr">
        <is>
          <t>97</t>
        </is>
      </c>
      <c r="CM59" s="99" t="inlineStr">
        <is>
          <t>12,35%</t>
        </is>
      </c>
      <c r="CN59" s="100" t="inlineStr">
        <is>
          <t>100</t>
        </is>
      </c>
      <c r="CO59" s="101" t="inlineStr">
        <is>
          <t>3,81%</t>
        </is>
      </c>
      <c r="CP59" s="102" t="inlineStr">
        <is>
          <t>97</t>
        </is>
      </c>
      <c r="CQ59" s="103" t="inlineStr">
        <is>
          <t>0,00%</t>
        </is>
      </c>
      <c r="CR59" s="104" t="inlineStr">
        <is>
          <t>20</t>
        </is>
      </c>
      <c r="CS59" s="105" t="inlineStr">
        <is>
          <t>0,03%</t>
        </is>
      </c>
      <c r="CT59" s="106" t="inlineStr">
        <is>
          <t>44</t>
        </is>
      </c>
      <c r="CU59" s="107" t="inlineStr">
        <is>
          <t>24,68%</t>
        </is>
      </c>
      <c r="CV59" s="108" t="inlineStr">
        <is>
          <t>100</t>
        </is>
      </c>
      <c r="CW59" s="109" t="inlineStr">
        <is>
          <t>3,77x</t>
        </is>
      </c>
      <c r="CX59" s="110" t="inlineStr">
        <is>
          <t>76</t>
        </is>
      </c>
      <c r="CY59" s="111" t="inlineStr">
        <is>
          <t>-0,03x</t>
        </is>
      </c>
      <c r="CZ59" s="112" t="inlineStr">
        <is>
          <t>-0,78%</t>
        </is>
      </c>
      <c r="DA59" s="113" t="inlineStr">
        <is>
          <t>2,49x</t>
        </is>
      </c>
      <c r="DB59" s="114" t="inlineStr">
        <is>
          <t>71</t>
        </is>
      </c>
      <c r="DC59" s="115" t="inlineStr">
        <is>
          <t>5,04x</t>
        </is>
      </c>
      <c r="DD59" s="116" t="inlineStr">
        <is>
          <t>76</t>
        </is>
      </c>
      <c r="DE59" s="117" t="inlineStr">
        <is>
          <t>3,76x</t>
        </is>
      </c>
      <c r="DF59" s="118" t="inlineStr">
        <is>
          <t>77</t>
        </is>
      </c>
      <c r="DG59" s="119" t="inlineStr">
        <is>
          <t>1,22x</t>
        </is>
      </c>
      <c r="DH59" s="120" t="inlineStr">
        <is>
          <t>55</t>
        </is>
      </c>
      <c r="DI59" s="121" t="inlineStr">
        <is>
          <t>6,02x</t>
        </is>
      </c>
      <c r="DJ59" s="122" t="inlineStr">
        <is>
          <t>76</t>
        </is>
      </c>
      <c r="DK59" s="123" t="inlineStr">
        <is>
          <t>4,06x</t>
        </is>
      </c>
      <c r="DL59" s="124" t="inlineStr">
        <is>
          <t>76</t>
        </is>
      </c>
      <c r="DM59" s="125" t="inlineStr">
        <is>
          <t>1.327</t>
        </is>
      </c>
      <c r="DN59" s="126" t="inlineStr">
        <is>
          <t>199</t>
        </is>
      </c>
      <c r="DO59" s="127" t="inlineStr">
        <is>
          <t>17,64%</t>
        </is>
      </c>
      <c r="DP59" s="128" t="inlineStr">
        <is>
          <t>4.767</t>
        </is>
      </c>
      <c r="DQ59" s="129" t="inlineStr">
        <is>
          <t>2</t>
        </is>
      </c>
      <c r="DR59" s="130" t="inlineStr">
        <is>
          <t>0,04%</t>
        </is>
      </c>
      <c r="DS59" s="131" t="inlineStr">
        <is>
          <t>44</t>
        </is>
      </c>
      <c r="DT59" s="132" t="inlineStr">
        <is>
          <t>-1</t>
        </is>
      </c>
      <c r="DU59" s="133" t="inlineStr">
        <is>
          <t>-2,22%</t>
        </is>
      </c>
      <c r="DV59" s="134" t="inlineStr">
        <is>
          <t>1.520</t>
        </is>
      </c>
      <c r="DW59" s="135" t="inlineStr">
        <is>
          <t>0</t>
        </is>
      </c>
      <c r="DX59" s="136" t="inlineStr">
        <is>
          <t>0,00%</t>
        </is>
      </c>
      <c r="DY59" s="137" t="inlineStr">
        <is>
          <t>PitchBook Research</t>
        </is>
      </c>
      <c r="DZ59" s="785">
        <f>HYPERLINK("https://my.pitchbook.com?c=108648-91", "View company online")</f>
      </c>
    </row>
    <row r="60">
      <c r="A60" s="139" t="inlineStr">
        <is>
          <t>172084-96</t>
        </is>
      </c>
      <c r="B60" s="140" t="inlineStr">
        <is>
          <t>Mapwize</t>
        </is>
      </c>
      <c r="C60" s="141" t="inlineStr">
        <is>
          <t/>
        </is>
      </c>
      <c r="D60" s="142" t="inlineStr">
        <is>
          <t/>
        </is>
      </c>
      <c r="E60" s="143" t="inlineStr">
        <is>
          <t>172084-96</t>
        </is>
      </c>
      <c r="F60" s="144" t="inlineStr">
        <is>
          <t>Provider of an online platform intended to offer indoor mapping facilities for various buildings. The company's online platform helps its clients to manage the plans of any building on a single cloud platform, enabling its users to get an idea about various institution and buildings through various Web devices and mobile applications.</t>
        </is>
      </c>
      <c r="G60" s="145" t="inlineStr">
        <is>
          <t>Consumer Products and Services (B2C)</t>
        </is>
      </c>
      <c r="H60" s="146" t="inlineStr">
        <is>
          <t>Media</t>
        </is>
      </c>
      <c r="I60" s="147" t="inlineStr">
        <is>
          <t>Information Services (B2C)</t>
        </is>
      </c>
      <c r="J60" s="148" t="inlineStr">
        <is>
          <t>Information Services (B2C)*; Application Software</t>
        </is>
      </c>
      <c r="K60" s="149" t="inlineStr">
        <is>
          <t>Mobile</t>
        </is>
      </c>
      <c r="L60" s="150" t="inlineStr">
        <is>
          <t>Venture Capital-Backed</t>
        </is>
      </c>
      <c r="M60" s="151" t="n">
        <v>1.2</v>
      </c>
      <c r="N60" s="152" t="inlineStr">
        <is>
          <t>Generating Revenue</t>
        </is>
      </c>
      <c r="O60" s="153" t="inlineStr">
        <is>
          <t>Privately Held (backing)</t>
        </is>
      </c>
      <c r="P60" s="154" t="inlineStr">
        <is>
          <t>Venture Capital</t>
        </is>
      </c>
      <c r="Q60" s="155" t="inlineStr">
        <is>
          <t>www.mapwize.io</t>
        </is>
      </c>
      <c r="R60" s="156" t="n">
        <v>8.0</v>
      </c>
      <c r="S60" s="157" t="inlineStr">
        <is>
          <t/>
        </is>
      </c>
      <c r="T60" s="158" t="inlineStr">
        <is>
          <t/>
        </is>
      </c>
      <c r="U60" s="159" t="n">
        <v>2014.0</v>
      </c>
      <c r="V60" s="160" t="inlineStr">
        <is>
          <t/>
        </is>
      </c>
      <c r="W60" s="161" t="inlineStr">
        <is>
          <t/>
        </is>
      </c>
      <c r="X60" s="162" t="inlineStr">
        <is>
          <t/>
        </is>
      </c>
      <c r="Y60" s="163" t="n">
        <v>0.52172</v>
      </c>
      <c r="Z60" s="164" t="inlineStr">
        <is>
          <t/>
        </is>
      </c>
      <c r="AA60" s="165" t="inlineStr">
        <is>
          <t/>
        </is>
      </c>
      <c r="AB60" s="166" t="inlineStr">
        <is>
          <t/>
        </is>
      </c>
      <c r="AC60" s="167" t="inlineStr">
        <is>
          <t/>
        </is>
      </c>
      <c r="AD60" s="168" t="inlineStr">
        <is>
          <t>FY 2016</t>
        </is>
      </c>
      <c r="AE60" s="169" t="inlineStr">
        <is>
          <t>76794-04P</t>
        </is>
      </c>
      <c r="AF60" s="170" t="inlineStr">
        <is>
          <t>Médéric Morel</t>
        </is>
      </c>
      <c r="AG60" s="171" t="inlineStr">
        <is>
          <t>Chief Executive Officer &amp; Co-Founder</t>
        </is>
      </c>
      <c r="AH60" s="172" t="inlineStr">
        <is>
          <t>mmorel@mapwize.io</t>
        </is>
      </c>
      <c r="AI60" s="173" t="inlineStr">
        <is>
          <t>+33 (0)1 55 93 26 00</t>
        </is>
      </c>
      <c r="AJ60" s="174" t="inlineStr">
        <is>
          <t>Lille, France</t>
        </is>
      </c>
      <c r="AK60" s="175" t="inlineStr">
        <is>
          <t>165 Avenue de Bretagne</t>
        </is>
      </c>
      <c r="AL60" s="176" t="inlineStr">
        <is>
          <t/>
        </is>
      </c>
      <c r="AM60" s="177" t="inlineStr">
        <is>
          <t>Lille</t>
        </is>
      </c>
      <c r="AN60" s="178" t="inlineStr">
        <is>
          <t/>
        </is>
      </c>
      <c r="AO60" s="179" t="inlineStr">
        <is>
          <t>59000</t>
        </is>
      </c>
      <c r="AP60" s="180" t="inlineStr">
        <is>
          <t>France</t>
        </is>
      </c>
      <c r="AQ60" s="181" t="inlineStr">
        <is>
          <t>+33 (0)6 74 31 51 91</t>
        </is>
      </c>
      <c r="AR60" s="182" t="inlineStr">
        <is>
          <t/>
        </is>
      </c>
      <c r="AS60" s="183" t="inlineStr">
        <is>
          <t>contact@mapwize.io</t>
        </is>
      </c>
      <c r="AT60" s="184" t="inlineStr">
        <is>
          <t>Europe</t>
        </is>
      </c>
      <c r="AU60" s="185" t="inlineStr">
        <is>
          <t>Western Europe</t>
        </is>
      </c>
      <c r="AV60" s="186" t="inlineStr">
        <is>
          <t>The company raised EUR 1.2 million of venture funding from Bpifrance, Finorpa and Nord Création on September 9, 2017. This funding will allow the company to strengthen its commercial development and to increase from 8 to 16 employees including engineers to expand the research and development team.</t>
        </is>
      </c>
      <c r="AW60" s="187" t="inlineStr">
        <is>
          <t>Bpifrance, Cisco Systems, EuraTechnologies, Finorpa, Nord Création</t>
        </is>
      </c>
      <c r="AX60" s="188" t="n">
        <v>5.0</v>
      </c>
      <c r="AY60" s="189" t="inlineStr">
        <is>
          <t/>
        </is>
      </c>
      <c r="AZ60" s="190" t="inlineStr">
        <is>
          <t/>
        </is>
      </c>
      <c r="BA60" s="191" t="inlineStr">
        <is>
          <t/>
        </is>
      </c>
      <c r="BB60" s="192" t="inlineStr">
        <is>
          <t>Bpifrance (www.bpifrance.fr), Cisco Systems (www.cisco.com), EuraTechnologies (www.euratechnologies.com), Finorpa (www.finorpa.fr)</t>
        </is>
      </c>
      <c r="BC60" s="193" t="inlineStr">
        <is>
          <t/>
        </is>
      </c>
      <c r="BD60" s="194" t="inlineStr">
        <is>
          <t/>
        </is>
      </c>
      <c r="BE60" s="195" t="inlineStr">
        <is>
          <t/>
        </is>
      </c>
      <c r="BF60" s="196" t="inlineStr">
        <is>
          <t/>
        </is>
      </c>
      <c r="BG60" s="197" t="inlineStr">
        <is>
          <t/>
        </is>
      </c>
      <c r="BH60" s="198" t="inlineStr">
        <is>
          <t/>
        </is>
      </c>
      <c r="BI60" s="199" t="inlineStr">
        <is>
          <t/>
        </is>
      </c>
      <c r="BJ60" s="200" t="inlineStr">
        <is>
          <t/>
        </is>
      </c>
      <c r="BK60" s="201" t="inlineStr">
        <is>
          <t/>
        </is>
      </c>
      <c r="BL60" s="202" t="inlineStr">
        <is>
          <t>Accelerator/Incubator</t>
        </is>
      </c>
      <c r="BM60" s="203" t="inlineStr">
        <is>
          <t/>
        </is>
      </c>
      <c r="BN60" s="204" t="inlineStr">
        <is>
          <t/>
        </is>
      </c>
      <c r="BO60" s="205" t="inlineStr">
        <is>
          <t>Other</t>
        </is>
      </c>
      <c r="BP60" s="206" t="inlineStr">
        <is>
          <t/>
        </is>
      </c>
      <c r="BQ60" s="207" t="inlineStr">
        <is>
          <t/>
        </is>
      </c>
      <c r="BR60" s="208" t="inlineStr">
        <is>
          <t/>
        </is>
      </c>
      <c r="BS60" s="209" t="inlineStr">
        <is>
          <t>Completed</t>
        </is>
      </c>
      <c r="BT60" s="210" t="n">
        <v>42987.0</v>
      </c>
      <c r="BU60" s="211" t="n">
        <v>1.2</v>
      </c>
      <c r="BV60" s="212" t="inlineStr">
        <is>
          <t>Actual</t>
        </is>
      </c>
      <c r="BW60" s="213" t="inlineStr">
        <is>
          <t/>
        </is>
      </c>
      <c r="BX60" s="214" t="inlineStr">
        <is>
          <t/>
        </is>
      </c>
      <c r="BY60" s="215" t="inlineStr">
        <is>
          <t>Early Stage VC</t>
        </is>
      </c>
      <c r="BZ60" s="216" t="inlineStr">
        <is>
          <t/>
        </is>
      </c>
      <c r="CA60" s="217" t="inlineStr">
        <is>
          <t/>
        </is>
      </c>
      <c r="CB60" s="218" t="inlineStr">
        <is>
          <t>Venture Capital</t>
        </is>
      </c>
      <c r="CC60" s="219" t="inlineStr">
        <is>
          <t/>
        </is>
      </c>
      <c r="CD60" s="220" t="inlineStr">
        <is>
          <t/>
        </is>
      </c>
      <c r="CE60" s="221" t="inlineStr">
        <is>
          <t/>
        </is>
      </c>
      <c r="CF60" s="222" t="inlineStr">
        <is>
          <t>Completed</t>
        </is>
      </c>
      <c r="CG60" s="223" t="inlineStr">
        <is>
          <t>0,79%</t>
        </is>
      </c>
      <c r="CH60" s="224" t="inlineStr">
        <is>
          <t>94</t>
        </is>
      </c>
      <c r="CI60" s="225" t="inlineStr">
        <is>
          <t>0,07%</t>
        </is>
      </c>
      <c r="CJ60" s="226" t="inlineStr">
        <is>
          <t>8,94%</t>
        </is>
      </c>
      <c r="CK60" s="227" t="inlineStr">
        <is>
          <t>0,00%</t>
        </is>
      </c>
      <c r="CL60" s="228" t="inlineStr">
        <is>
          <t>28</t>
        </is>
      </c>
      <c r="CM60" s="229" t="inlineStr">
        <is>
          <t>1,59%</t>
        </is>
      </c>
      <c r="CN60" s="230" t="inlineStr">
        <is>
          <t>98</t>
        </is>
      </c>
      <c r="CO60" s="231" t="inlineStr">
        <is>
          <t>0,00%</t>
        </is>
      </c>
      <c r="CP60" s="232" t="inlineStr">
        <is>
          <t>37</t>
        </is>
      </c>
      <c r="CQ60" s="233" t="inlineStr">
        <is>
          <t>0,00%</t>
        </is>
      </c>
      <c r="CR60" s="234" t="inlineStr">
        <is>
          <t>20</t>
        </is>
      </c>
      <c r="CS60" s="235" t="inlineStr">
        <is>
          <t/>
        </is>
      </c>
      <c r="CT60" s="236" t="inlineStr">
        <is>
          <t/>
        </is>
      </c>
      <c r="CU60" s="237" t="inlineStr">
        <is>
          <t>1,59%</t>
        </is>
      </c>
      <c r="CV60" s="238" t="inlineStr">
        <is>
          <t>98</t>
        </is>
      </c>
      <c r="CW60" s="239" t="inlineStr">
        <is>
          <t>4,82x</t>
        </is>
      </c>
      <c r="CX60" s="240" t="inlineStr">
        <is>
          <t>79</t>
        </is>
      </c>
      <c r="CY60" s="241" t="inlineStr">
        <is>
          <t>0,01x</t>
        </is>
      </c>
      <c r="CZ60" s="242" t="inlineStr">
        <is>
          <t>0,11%</t>
        </is>
      </c>
      <c r="DA60" s="243" t="inlineStr">
        <is>
          <t>1,34x</t>
        </is>
      </c>
      <c r="DB60" s="244" t="inlineStr">
        <is>
          <t>58</t>
        </is>
      </c>
      <c r="DC60" s="245" t="inlineStr">
        <is>
          <t>8,31x</t>
        </is>
      </c>
      <c r="DD60" s="246" t="inlineStr">
        <is>
          <t>82</t>
        </is>
      </c>
      <c r="DE60" s="247" t="inlineStr">
        <is>
          <t>0,60x</t>
        </is>
      </c>
      <c r="DF60" s="248" t="inlineStr">
        <is>
          <t>38</t>
        </is>
      </c>
      <c r="DG60" s="249" t="inlineStr">
        <is>
          <t>2,08x</t>
        </is>
      </c>
      <c r="DH60" s="250" t="inlineStr">
        <is>
          <t>66</t>
        </is>
      </c>
      <c r="DI60" s="251" t="inlineStr">
        <is>
          <t/>
        </is>
      </c>
      <c r="DJ60" s="252" t="inlineStr">
        <is>
          <t/>
        </is>
      </c>
      <c r="DK60" s="253" t="inlineStr">
        <is>
          <t>8,31x</t>
        </is>
      </c>
      <c r="DL60" s="254" t="inlineStr">
        <is>
          <t>85</t>
        </is>
      </c>
      <c r="DM60" s="255" t="inlineStr">
        <is>
          <t>225</t>
        </is>
      </c>
      <c r="DN60" s="256" t="inlineStr">
        <is>
          <t>-10</t>
        </is>
      </c>
      <c r="DO60" s="257" t="inlineStr">
        <is>
          <t>-4,26%</t>
        </is>
      </c>
      <c r="DP60" s="258" t="inlineStr">
        <is>
          <t/>
        </is>
      </c>
      <c r="DQ60" s="259" t="inlineStr">
        <is>
          <t/>
        </is>
      </c>
      <c r="DR60" s="260" t="inlineStr">
        <is>
          <t/>
        </is>
      </c>
      <c r="DS60" s="261" t="inlineStr">
        <is>
          <t>74</t>
        </is>
      </c>
      <c r="DT60" s="262" t="inlineStr">
        <is>
          <t>0</t>
        </is>
      </c>
      <c r="DU60" s="263" t="inlineStr">
        <is>
          <t>0,00%</t>
        </is>
      </c>
      <c r="DV60" s="264" t="inlineStr">
        <is>
          <t>3.100</t>
        </is>
      </c>
      <c r="DW60" s="265" t="inlineStr">
        <is>
          <t>52</t>
        </is>
      </c>
      <c r="DX60" s="266" t="inlineStr">
        <is>
          <t>1,71%</t>
        </is>
      </c>
      <c r="DY60" s="267" t="inlineStr">
        <is>
          <t>PitchBook Research</t>
        </is>
      </c>
      <c r="DZ60" s="786">
        <f>HYPERLINK("https://my.pitchbook.com?c=172084-96", "View company online")</f>
      </c>
    </row>
    <row r="61">
      <c r="A61" s="9" t="inlineStr">
        <is>
          <t>180831-88</t>
        </is>
      </c>
      <c r="B61" s="10" t="inlineStr">
        <is>
          <t>Big Profiles</t>
        </is>
      </c>
      <c r="C61" s="11" t="inlineStr">
        <is>
          <t/>
        </is>
      </c>
      <c r="D61" s="12" t="inlineStr">
        <is>
          <t/>
        </is>
      </c>
      <c r="E61" s="13" t="inlineStr">
        <is>
          <t>180831-88</t>
        </is>
      </c>
      <c r="F61" s="14" t="inlineStr">
        <is>
          <t>Developer of a SaaS and AI based customer intelligence tool designed to leverage external information about a person to enrich customer profiling. The company's customer intelligence tool uploads customer data, produces a detailed profile of a customer, using information found on the web, social networks, professional registers and statistical data, enabling enterprises to estimates the customer's willingness to purchase and/or abandon.</t>
        </is>
      </c>
      <c r="G61" s="15" t="inlineStr">
        <is>
          <t>Business Products and Services (B2B)</t>
        </is>
      </c>
      <c r="H61" s="16" t="inlineStr">
        <is>
          <t>Commercial Services</t>
        </is>
      </c>
      <c r="I61" s="17" t="inlineStr">
        <is>
          <t>Media and Information Services (B2B)</t>
        </is>
      </c>
      <c r="J61" s="18" t="inlineStr">
        <is>
          <t>Media and Information Services (B2B)*; Business/Productivity Software</t>
        </is>
      </c>
      <c r="K61" s="19" t="inlineStr">
        <is>
          <t>Artificial Intelligence &amp; Machine Learning, Marketing Tech, SaaS</t>
        </is>
      </c>
      <c r="L61" s="20" t="inlineStr">
        <is>
          <t>Venture Capital-Backed</t>
        </is>
      </c>
      <c r="M61" s="21" t="n">
        <v>1.2</v>
      </c>
      <c r="N61" s="22" t="inlineStr">
        <is>
          <t>Generating Revenue</t>
        </is>
      </c>
      <c r="O61" s="23" t="inlineStr">
        <is>
          <t>Privately Held (backing)</t>
        </is>
      </c>
      <c r="P61" s="24" t="inlineStr">
        <is>
          <t>Venture Capital</t>
        </is>
      </c>
      <c r="Q61" s="25" t="inlineStr">
        <is>
          <t>www.bigprofiles.it</t>
        </is>
      </c>
      <c r="R61" s="26" t="inlineStr">
        <is>
          <t/>
        </is>
      </c>
      <c r="S61" s="27" t="inlineStr">
        <is>
          <t/>
        </is>
      </c>
      <c r="T61" s="28" t="inlineStr">
        <is>
          <t/>
        </is>
      </c>
      <c r="U61" s="29" t="n">
        <v>2016.0</v>
      </c>
      <c r="V61" s="30" t="inlineStr">
        <is>
          <t/>
        </is>
      </c>
      <c r="W61" s="31" t="inlineStr">
        <is>
          <t/>
        </is>
      </c>
      <c r="X61" s="32" t="inlineStr">
        <is>
          <t/>
        </is>
      </c>
      <c r="Y61" s="33" t="inlineStr">
        <is>
          <t/>
        </is>
      </c>
      <c r="Z61" s="34" t="inlineStr">
        <is>
          <t/>
        </is>
      </c>
      <c r="AA61" s="35" t="inlineStr">
        <is>
          <t/>
        </is>
      </c>
      <c r="AB61" s="36" t="inlineStr">
        <is>
          <t/>
        </is>
      </c>
      <c r="AC61" s="37" t="inlineStr">
        <is>
          <t/>
        </is>
      </c>
      <c r="AD61" s="38" t="inlineStr">
        <is>
          <t/>
        </is>
      </c>
      <c r="AE61" s="39" t="inlineStr">
        <is>
          <t>162819-46P</t>
        </is>
      </c>
      <c r="AF61" s="40" t="inlineStr">
        <is>
          <t>Lorenzo Luce</t>
        </is>
      </c>
      <c r="AG61" s="41" t="inlineStr">
        <is>
          <t>Founder &amp; Chief Executive Officer</t>
        </is>
      </c>
      <c r="AH61" s="42" t="inlineStr">
        <is>
          <t>lorenzo@bigprofil.es</t>
        </is>
      </c>
      <c r="AI61" s="43" t="inlineStr">
        <is>
          <t/>
        </is>
      </c>
      <c r="AJ61" s="44" t="inlineStr">
        <is>
          <t>Rome, Italy</t>
        </is>
      </c>
      <c r="AK61" s="45" t="inlineStr">
        <is>
          <t>Via Costantino 73</t>
        </is>
      </c>
      <c r="AL61" s="46" t="inlineStr">
        <is>
          <t/>
        </is>
      </c>
      <c r="AM61" s="47" t="inlineStr">
        <is>
          <t>Rome</t>
        </is>
      </c>
      <c r="AN61" s="48" t="inlineStr">
        <is>
          <t/>
        </is>
      </c>
      <c r="AO61" s="49" t="inlineStr">
        <is>
          <t>00145</t>
        </is>
      </c>
      <c r="AP61" s="50" t="inlineStr">
        <is>
          <t>Italy</t>
        </is>
      </c>
      <c r="AQ61" s="51" t="inlineStr">
        <is>
          <t/>
        </is>
      </c>
      <c r="AR61" s="52" t="inlineStr">
        <is>
          <t/>
        </is>
      </c>
      <c r="AS61" s="53" t="inlineStr">
        <is>
          <t>datafalls@pec.sltassociati.it</t>
        </is>
      </c>
      <c r="AT61" s="54" t="inlineStr">
        <is>
          <t>Europe</t>
        </is>
      </c>
      <c r="AU61" s="55" t="inlineStr">
        <is>
          <t>Southern Europe</t>
        </is>
      </c>
      <c r="AV61" s="56" t="inlineStr">
        <is>
          <t>The company raised EUR 600,000 of seed funding from LVenture Group and Invitalia Ventures on September 13, 2017. Other undisclosed business angels and members of Angel Partner Group (APG) network also participated in the round. The company intends to use the funds to expand adoption of their platform in the Italian corporate market as well as to continue to develop their technology.</t>
        </is>
      </c>
      <c r="AW61" s="57" t="inlineStr">
        <is>
          <t>Invitalia Ventures, Luiss Enlabs, LVenture Group</t>
        </is>
      </c>
      <c r="AX61" s="58" t="n">
        <v>3.0</v>
      </c>
      <c r="AY61" s="59" t="inlineStr">
        <is>
          <t/>
        </is>
      </c>
      <c r="AZ61" s="60" t="inlineStr">
        <is>
          <t/>
        </is>
      </c>
      <c r="BA61" s="61" t="inlineStr">
        <is>
          <t/>
        </is>
      </c>
      <c r="BB61" s="62" t="inlineStr">
        <is>
          <t>Invitalia Ventures (www.invitaliaventures.it), Luiss Enlabs (www.luissenlabs.com), LVenture Group (www.lventuregroup.com)</t>
        </is>
      </c>
      <c r="BC61" s="63" t="inlineStr">
        <is>
          <t/>
        </is>
      </c>
      <c r="BD61" s="64" t="inlineStr">
        <is>
          <t/>
        </is>
      </c>
      <c r="BE61" s="65" t="inlineStr">
        <is>
          <t/>
        </is>
      </c>
      <c r="BF61" s="66" t="inlineStr">
        <is>
          <t/>
        </is>
      </c>
      <c r="BG61" s="67" t="n">
        <v>42758.0</v>
      </c>
      <c r="BH61" s="68" t="n">
        <v>0.6</v>
      </c>
      <c r="BI61" s="69" t="inlineStr">
        <is>
          <t>Actual</t>
        </is>
      </c>
      <c r="BJ61" s="70" t="inlineStr">
        <is>
          <t/>
        </is>
      </c>
      <c r="BK61" s="71" t="inlineStr">
        <is>
          <t/>
        </is>
      </c>
      <c r="BL61" s="72" t="inlineStr">
        <is>
          <t>Accelerator/Incubator</t>
        </is>
      </c>
      <c r="BM61" s="73" t="inlineStr">
        <is>
          <t/>
        </is>
      </c>
      <c r="BN61" s="74" t="inlineStr">
        <is>
          <t/>
        </is>
      </c>
      <c r="BO61" s="75" t="inlineStr">
        <is>
          <t>Other</t>
        </is>
      </c>
      <c r="BP61" s="76" t="inlineStr">
        <is>
          <t/>
        </is>
      </c>
      <c r="BQ61" s="77" t="inlineStr">
        <is>
          <t/>
        </is>
      </c>
      <c r="BR61" s="78" t="inlineStr">
        <is>
          <t/>
        </is>
      </c>
      <c r="BS61" s="79" t="inlineStr">
        <is>
          <t>Completed</t>
        </is>
      </c>
      <c r="BT61" s="80" t="n">
        <v>42991.0</v>
      </c>
      <c r="BU61" s="81" t="n">
        <v>0.6</v>
      </c>
      <c r="BV61" s="82" t="inlineStr">
        <is>
          <t>Actual</t>
        </is>
      </c>
      <c r="BW61" s="83" t="inlineStr">
        <is>
          <t/>
        </is>
      </c>
      <c r="BX61" s="84" t="inlineStr">
        <is>
          <t/>
        </is>
      </c>
      <c r="BY61" s="85" t="inlineStr">
        <is>
          <t>Seed Round</t>
        </is>
      </c>
      <c r="BZ61" s="86" t="inlineStr">
        <is>
          <t>Seed</t>
        </is>
      </c>
      <c r="CA61" s="87" t="inlineStr">
        <is>
          <t/>
        </is>
      </c>
      <c r="CB61" s="88" t="inlineStr">
        <is>
          <t>Venture Capital</t>
        </is>
      </c>
      <c r="CC61" s="89" t="inlineStr">
        <is>
          <t/>
        </is>
      </c>
      <c r="CD61" s="90" t="inlineStr">
        <is>
          <t/>
        </is>
      </c>
      <c r="CE61" s="91" t="inlineStr">
        <is>
          <t/>
        </is>
      </c>
      <c r="CF61" s="92" t="inlineStr">
        <is>
          <t>Completed</t>
        </is>
      </c>
      <c r="CG61" s="93" t="inlineStr">
        <is>
          <t>0,00%</t>
        </is>
      </c>
      <c r="CH61" s="94" t="inlineStr">
        <is>
          <t>33</t>
        </is>
      </c>
      <c r="CI61" s="95" t="inlineStr">
        <is>
          <t>0,00%</t>
        </is>
      </c>
      <c r="CJ61" s="96" t="inlineStr">
        <is>
          <t>0,00%</t>
        </is>
      </c>
      <c r="CK61" s="97" t="inlineStr">
        <is>
          <t/>
        </is>
      </c>
      <c r="CL61" s="98" t="inlineStr">
        <is>
          <t/>
        </is>
      </c>
      <c r="CM61" s="99" t="inlineStr">
        <is>
          <t>0,00%</t>
        </is>
      </c>
      <c r="CN61" s="100" t="inlineStr">
        <is>
          <t>20</t>
        </is>
      </c>
      <c r="CO61" s="101" t="inlineStr">
        <is>
          <t/>
        </is>
      </c>
      <c r="CP61" s="102" t="inlineStr">
        <is>
          <t/>
        </is>
      </c>
      <c r="CQ61" s="103" t="inlineStr">
        <is>
          <t/>
        </is>
      </c>
      <c r="CR61" s="104" t="inlineStr">
        <is>
          <t/>
        </is>
      </c>
      <c r="CS61" s="105" t="inlineStr">
        <is>
          <t>0,00%</t>
        </is>
      </c>
      <c r="CT61" s="106" t="inlineStr">
        <is>
          <t>18</t>
        </is>
      </c>
      <c r="CU61" s="107" t="inlineStr">
        <is>
          <t>0,00%</t>
        </is>
      </c>
      <c r="CV61" s="108" t="inlineStr">
        <is>
          <t>21</t>
        </is>
      </c>
      <c r="CW61" s="109" t="inlineStr">
        <is>
          <t>0,08x</t>
        </is>
      </c>
      <c r="CX61" s="110" t="inlineStr">
        <is>
          <t>6</t>
        </is>
      </c>
      <c r="CY61" s="111" t="inlineStr">
        <is>
          <t>0,00x</t>
        </is>
      </c>
      <c r="CZ61" s="112" t="inlineStr">
        <is>
          <t>1,74%</t>
        </is>
      </c>
      <c r="DA61" s="113" t="inlineStr">
        <is>
          <t/>
        </is>
      </c>
      <c r="DB61" s="114" t="inlineStr">
        <is>
          <t/>
        </is>
      </c>
      <c r="DC61" s="115" t="inlineStr">
        <is>
          <t>0,08x</t>
        </is>
      </c>
      <c r="DD61" s="116" t="inlineStr">
        <is>
          <t>11</t>
        </is>
      </c>
      <c r="DE61" s="117" t="inlineStr">
        <is>
          <t/>
        </is>
      </c>
      <c r="DF61" s="118" t="inlineStr">
        <is>
          <t/>
        </is>
      </c>
      <c r="DG61" s="119" t="inlineStr">
        <is>
          <t/>
        </is>
      </c>
      <c r="DH61" s="120" t="inlineStr">
        <is>
          <t/>
        </is>
      </c>
      <c r="DI61" s="121" t="inlineStr">
        <is>
          <t>0,07x</t>
        </is>
      </c>
      <c r="DJ61" s="122" t="inlineStr">
        <is>
          <t>11</t>
        </is>
      </c>
      <c r="DK61" s="123" t="inlineStr">
        <is>
          <t>0,08x</t>
        </is>
      </c>
      <c r="DL61" s="124" t="inlineStr">
        <is>
          <t>14</t>
        </is>
      </c>
      <c r="DM61" s="125" t="inlineStr">
        <is>
          <t/>
        </is>
      </c>
      <c r="DN61" s="126" t="inlineStr">
        <is>
          <t/>
        </is>
      </c>
      <c r="DO61" s="127" t="inlineStr">
        <is>
          <t/>
        </is>
      </c>
      <c r="DP61" s="128" t="inlineStr">
        <is>
          <t>57</t>
        </is>
      </c>
      <c r="DQ61" s="129" t="inlineStr">
        <is>
          <t>1</t>
        </is>
      </c>
      <c r="DR61" s="130" t="inlineStr">
        <is>
          <t>1,79%</t>
        </is>
      </c>
      <c r="DS61" s="131" t="inlineStr">
        <is>
          <t/>
        </is>
      </c>
      <c r="DT61" s="132" t="inlineStr">
        <is>
          <t/>
        </is>
      </c>
      <c r="DU61" s="133" t="inlineStr">
        <is>
          <t/>
        </is>
      </c>
      <c r="DV61" s="134" t="inlineStr">
        <is>
          <t>29</t>
        </is>
      </c>
      <c r="DW61" s="135" t="inlineStr">
        <is>
          <t>2</t>
        </is>
      </c>
      <c r="DX61" s="136" t="inlineStr">
        <is>
          <t>7,41%</t>
        </is>
      </c>
      <c r="DY61" s="137" t="inlineStr">
        <is>
          <t>PitchBook Research</t>
        </is>
      </c>
      <c r="DZ61" s="785">
        <f>HYPERLINK("https://my.pitchbook.com?c=180831-88", "View company online")</f>
      </c>
    </row>
    <row r="62">
      <c r="A62" s="139" t="inlineStr">
        <is>
          <t>180831-70</t>
        </is>
      </c>
      <c r="B62" s="140" t="inlineStr">
        <is>
          <t>2hire</t>
        </is>
      </c>
      <c r="C62" s="141" t="inlineStr">
        <is>
          <t/>
        </is>
      </c>
      <c r="D62" s="142" t="inlineStr">
        <is>
          <t/>
        </is>
      </c>
      <c r="E62" s="143" t="inlineStr">
        <is>
          <t>180831-70</t>
        </is>
      </c>
      <c r="F62" s="144" t="inlineStr">
        <is>
          <t>Developer of a hardware device designed to transform any car into a connected car. The company's hardware device plugs into the OBD port of any car to monitor the status of the vehicle in real time and its software application transforms smartphones into digital keys to perform all vehicle's actions, enabling transportation companies to manage their fleet, receive utilization rate, usage time and trip summaries as well as save money with predictive maintenance.</t>
        </is>
      </c>
      <c r="G62" s="145" t="inlineStr">
        <is>
          <t>Information Technology</t>
        </is>
      </c>
      <c r="H62" s="146" t="inlineStr">
        <is>
          <t>Software</t>
        </is>
      </c>
      <c r="I62" s="147" t="inlineStr">
        <is>
          <t>Application Software</t>
        </is>
      </c>
      <c r="J62" s="148" t="inlineStr">
        <is>
          <t>Application Software*; Social/Platform Software</t>
        </is>
      </c>
      <c r="K62" s="149" t="inlineStr">
        <is>
          <t>Autonomous cars, Mobile</t>
        </is>
      </c>
      <c r="L62" s="150" t="inlineStr">
        <is>
          <t>Venture Capital-Backed</t>
        </is>
      </c>
      <c r="M62" s="151" t="n">
        <v>1.2</v>
      </c>
      <c r="N62" s="152" t="inlineStr">
        <is>
          <t>Generating Revenue</t>
        </is>
      </c>
      <c r="O62" s="153" t="inlineStr">
        <is>
          <t>Privately Held (backing)</t>
        </is>
      </c>
      <c r="P62" s="154" t="inlineStr">
        <is>
          <t>Venture Capital</t>
        </is>
      </c>
      <c r="Q62" s="155" t="inlineStr">
        <is>
          <t>www.2hire.io</t>
        </is>
      </c>
      <c r="R62" s="156" t="n">
        <v>6.0</v>
      </c>
      <c r="S62" s="157" t="inlineStr">
        <is>
          <t/>
        </is>
      </c>
      <c r="T62" s="158" t="inlineStr">
        <is>
          <t/>
        </is>
      </c>
      <c r="U62" s="159" t="inlineStr">
        <is>
          <t/>
        </is>
      </c>
      <c r="V62" s="160" t="inlineStr">
        <is>
          <t/>
        </is>
      </c>
      <c r="W62" s="161" t="inlineStr">
        <is>
          <t/>
        </is>
      </c>
      <c r="X62" s="162" t="inlineStr">
        <is>
          <t/>
        </is>
      </c>
      <c r="Y62" s="163" t="inlineStr">
        <is>
          <t/>
        </is>
      </c>
      <c r="Z62" s="164" t="inlineStr">
        <is>
          <t/>
        </is>
      </c>
      <c r="AA62" s="165" t="inlineStr">
        <is>
          <t/>
        </is>
      </c>
      <c r="AB62" s="166" t="inlineStr">
        <is>
          <t/>
        </is>
      </c>
      <c r="AC62" s="167" t="inlineStr">
        <is>
          <t/>
        </is>
      </c>
      <c r="AD62" s="168" t="inlineStr">
        <is>
          <t/>
        </is>
      </c>
      <c r="AE62" s="169" t="inlineStr">
        <is>
          <t>162815-05P</t>
        </is>
      </c>
      <c r="AF62" s="170" t="inlineStr">
        <is>
          <t>Filippo Agostino</t>
        </is>
      </c>
      <c r="AG62" s="171" t="inlineStr">
        <is>
          <t>Co-Founder &amp; Chief Executive Officer</t>
        </is>
      </c>
      <c r="AH62" s="172" t="inlineStr">
        <is>
          <t>f.agostino@2hire.io</t>
        </is>
      </c>
      <c r="AI62" s="173" t="inlineStr">
        <is>
          <t>+39 33 3750 7719</t>
        </is>
      </c>
      <c r="AJ62" s="174" t="inlineStr">
        <is>
          <t>Rome, Italy</t>
        </is>
      </c>
      <c r="AK62" s="175" t="inlineStr">
        <is>
          <t>Roma Termini</t>
        </is>
      </c>
      <c r="AL62" s="176" t="inlineStr">
        <is>
          <t>Via Marsala, 29/h</t>
        </is>
      </c>
      <c r="AM62" s="177" t="inlineStr">
        <is>
          <t>Rome</t>
        </is>
      </c>
      <c r="AN62" s="178" t="inlineStr">
        <is>
          <t/>
        </is>
      </c>
      <c r="AO62" s="179" t="inlineStr">
        <is>
          <t>00185</t>
        </is>
      </c>
      <c r="AP62" s="180" t="inlineStr">
        <is>
          <t>Italy</t>
        </is>
      </c>
      <c r="AQ62" s="181" t="inlineStr">
        <is>
          <t>+39 33 3750 7719</t>
        </is>
      </c>
      <c r="AR62" s="182" t="inlineStr">
        <is>
          <t/>
        </is>
      </c>
      <c r="AS62" s="183" t="inlineStr">
        <is>
          <t>info@2hire.io</t>
        </is>
      </c>
      <c r="AT62" s="184" t="inlineStr">
        <is>
          <t>Europe</t>
        </is>
      </c>
      <c r="AU62" s="185" t="inlineStr">
        <is>
          <t>Southern Europe</t>
        </is>
      </c>
      <c r="AV62" s="186" t="inlineStr">
        <is>
          <t>The company raised EUR 600,000 of seed funding from LVenture Group, Invitalia Ventures and Angel Partner Group on September 13, 2017. The funds will be used to accelerate production and industrialization of the product, as well as speed up software development.</t>
        </is>
      </c>
      <c r="AW62" s="187" t="inlineStr">
        <is>
          <t>Angel Partner Group, Boost Heroes, Invitalia Ventures, Luiss Enlabs, LVenture Group</t>
        </is>
      </c>
      <c r="AX62" s="188" t="n">
        <v>5.0</v>
      </c>
      <c r="AY62" s="189" t="inlineStr">
        <is>
          <t/>
        </is>
      </c>
      <c r="AZ62" s="190" t="inlineStr">
        <is>
          <t/>
        </is>
      </c>
      <c r="BA62" s="191" t="inlineStr">
        <is>
          <t/>
        </is>
      </c>
      <c r="BB62" s="192" t="inlineStr">
        <is>
          <t>Angel Partner Group (www.angelpartnergroup.com), Boost Heroes (www.boostheroes.com), Invitalia Ventures (www.invitaliaventures.it), Luiss Enlabs (www.luissenlabs.com), LVenture Group (www.lventuregroup.com)</t>
        </is>
      </c>
      <c r="BC62" s="193" t="inlineStr">
        <is>
          <t/>
        </is>
      </c>
      <c r="BD62" s="194" t="inlineStr">
        <is>
          <t/>
        </is>
      </c>
      <c r="BE62" s="195" t="inlineStr">
        <is>
          <t/>
        </is>
      </c>
      <c r="BF62" s="196" t="inlineStr">
        <is>
          <t/>
        </is>
      </c>
      <c r="BG62" s="197" t="n">
        <v>42736.0</v>
      </c>
      <c r="BH62" s="198" t="n">
        <v>0.6</v>
      </c>
      <c r="BI62" s="199" t="inlineStr">
        <is>
          <t>Actual</t>
        </is>
      </c>
      <c r="BJ62" s="200" t="inlineStr">
        <is>
          <t/>
        </is>
      </c>
      <c r="BK62" s="201" t="inlineStr">
        <is>
          <t/>
        </is>
      </c>
      <c r="BL62" s="202" t="inlineStr">
        <is>
          <t>Accelerator/Incubator</t>
        </is>
      </c>
      <c r="BM62" s="203" t="inlineStr">
        <is>
          <t/>
        </is>
      </c>
      <c r="BN62" s="204" t="inlineStr">
        <is>
          <t/>
        </is>
      </c>
      <c r="BO62" s="205" t="inlineStr">
        <is>
          <t>Other</t>
        </is>
      </c>
      <c r="BP62" s="206" t="inlineStr">
        <is>
          <t/>
        </is>
      </c>
      <c r="BQ62" s="207" t="inlineStr">
        <is>
          <t/>
        </is>
      </c>
      <c r="BR62" s="208" t="inlineStr">
        <is>
          <t/>
        </is>
      </c>
      <c r="BS62" s="209" t="inlineStr">
        <is>
          <t>Completed</t>
        </is>
      </c>
      <c r="BT62" s="210" t="n">
        <v>42991.0</v>
      </c>
      <c r="BU62" s="211" t="n">
        <v>0.6</v>
      </c>
      <c r="BV62" s="212" t="inlineStr">
        <is>
          <t>Actual</t>
        </is>
      </c>
      <c r="BW62" s="213" t="inlineStr">
        <is>
          <t/>
        </is>
      </c>
      <c r="BX62" s="214" t="inlineStr">
        <is>
          <t/>
        </is>
      </c>
      <c r="BY62" s="215" t="inlineStr">
        <is>
          <t>Seed Round</t>
        </is>
      </c>
      <c r="BZ62" s="216" t="inlineStr">
        <is>
          <t>Seed</t>
        </is>
      </c>
      <c r="CA62" s="217" t="inlineStr">
        <is>
          <t/>
        </is>
      </c>
      <c r="CB62" s="218" t="inlineStr">
        <is>
          <t>Venture Capital</t>
        </is>
      </c>
      <c r="CC62" s="219" t="inlineStr">
        <is>
          <t/>
        </is>
      </c>
      <c r="CD62" s="220" t="inlineStr">
        <is>
          <t/>
        </is>
      </c>
      <c r="CE62" s="221" t="inlineStr">
        <is>
          <t/>
        </is>
      </c>
      <c r="CF62" s="222" t="inlineStr">
        <is>
          <t>Completed</t>
        </is>
      </c>
      <c r="CG62" s="223" t="inlineStr">
        <is>
          <t>0,00%</t>
        </is>
      </c>
      <c r="CH62" s="224" t="inlineStr">
        <is>
          <t>33</t>
        </is>
      </c>
      <c r="CI62" s="225" t="inlineStr">
        <is>
          <t>0,00%</t>
        </is>
      </c>
      <c r="CJ62" s="226" t="inlineStr">
        <is>
          <t>0,00%</t>
        </is>
      </c>
      <c r="CK62" s="227" t="inlineStr">
        <is>
          <t>0,00%</t>
        </is>
      </c>
      <c r="CL62" s="228" t="inlineStr">
        <is>
          <t>28</t>
        </is>
      </c>
      <c r="CM62" s="229" t="inlineStr">
        <is>
          <t>0,00%</t>
        </is>
      </c>
      <c r="CN62" s="230" t="inlineStr">
        <is>
          <t>20</t>
        </is>
      </c>
      <c r="CO62" s="231" t="inlineStr">
        <is>
          <t>0,00%</t>
        </is>
      </c>
      <c r="CP62" s="232" t="inlineStr">
        <is>
          <t>37</t>
        </is>
      </c>
      <c r="CQ62" s="233" t="inlineStr">
        <is>
          <t/>
        </is>
      </c>
      <c r="CR62" s="234" t="inlineStr">
        <is>
          <t/>
        </is>
      </c>
      <c r="CS62" s="235" t="inlineStr">
        <is>
          <t/>
        </is>
      </c>
      <c r="CT62" s="236" t="inlineStr">
        <is>
          <t/>
        </is>
      </c>
      <c r="CU62" s="237" t="inlineStr">
        <is>
          <t>0,00%</t>
        </is>
      </c>
      <c r="CV62" s="238" t="inlineStr">
        <is>
          <t>21</t>
        </is>
      </c>
      <c r="CW62" s="239" t="inlineStr">
        <is>
          <t>0,13x</t>
        </is>
      </c>
      <c r="CX62" s="240" t="inlineStr">
        <is>
          <t>11</t>
        </is>
      </c>
      <c r="CY62" s="241" t="inlineStr">
        <is>
          <t>0,00x</t>
        </is>
      </c>
      <c r="CZ62" s="242" t="inlineStr">
        <is>
          <t>2,51%</t>
        </is>
      </c>
      <c r="DA62" s="243" t="inlineStr">
        <is>
          <t>0,07x</t>
        </is>
      </c>
      <c r="DB62" s="244" t="inlineStr">
        <is>
          <t>7</t>
        </is>
      </c>
      <c r="DC62" s="245" t="inlineStr">
        <is>
          <t>0,18x</t>
        </is>
      </c>
      <c r="DD62" s="246" t="inlineStr">
        <is>
          <t>20</t>
        </is>
      </c>
      <c r="DE62" s="247" t="inlineStr">
        <is>
          <t>0,07x</t>
        </is>
      </c>
      <c r="DF62" s="248" t="inlineStr">
        <is>
          <t>2</t>
        </is>
      </c>
      <c r="DG62" s="249" t="inlineStr">
        <is>
          <t/>
        </is>
      </c>
      <c r="DH62" s="250" t="inlineStr">
        <is>
          <t/>
        </is>
      </c>
      <c r="DI62" s="251" t="inlineStr">
        <is>
          <t/>
        </is>
      </c>
      <c r="DJ62" s="252" t="inlineStr">
        <is>
          <t/>
        </is>
      </c>
      <c r="DK62" s="253" t="inlineStr">
        <is>
          <t>0,18x</t>
        </is>
      </c>
      <c r="DL62" s="254" t="inlineStr">
        <is>
          <t>23</t>
        </is>
      </c>
      <c r="DM62" s="255" t="inlineStr">
        <is>
          <t>27</t>
        </is>
      </c>
      <c r="DN62" s="256" t="inlineStr">
        <is>
          <t>-6</t>
        </is>
      </c>
      <c r="DO62" s="257" t="inlineStr">
        <is>
          <t>-18,18%</t>
        </is>
      </c>
      <c r="DP62" s="258" t="inlineStr">
        <is>
          <t/>
        </is>
      </c>
      <c r="DQ62" s="259" t="inlineStr">
        <is>
          <t/>
        </is>
      </c>
      <c r="DR62" s="260" t="inlineStr">
        <is>
          <t/>
        </is>
      </c>
      <c r="DS62" s="261" t="inlineStr">
        <is>
          <t/>
        </is>
      </c>
      <c r="DT62" s="262" t="inlineStr">
        <is>
          <t/>
        </is>
      </c>
      <c r="DU62" s="263" t="inlineStr">
        <is>
          <t/>
        </is>
      </c>
      <c r="DV62" s="264" t="inlineStr">
        <is>
          <t>65</t>
        </is>
      </c>
      <c r="DW62" s="265" t="inlineStr">
        <is>
          <t>2</t>
        </is>
      </c>
      <c r="DX62" s="266" t="inlineStr">
        <is>
          <t>3,17%</t>
        </is>
      </c>
      <c r="DY62" s="267" t="inlineStr">
        <is>
          <t>PitchBook Research</t>
        </is>
      </c>
      <c r="DZ62" s="786">
        <f>HYPERLINK("https://my.pitchbook.com?c=180831-70", "View company online")</f>
      </c>
    </row>
    <row r="63">
      <c r="A63" s="9" t="inlineStr">
        <is>
          <t>184666-87</t>
        </is>
      </c>
      <c r="B63" s="10" t="inlineStr">
        <is>
          <t>Apiax</t>
        </is>
      </c>
      <c r="C63" s="11" t="inlineStr">
        <is>
          <t/>
        </is>
      </c>
      <c r="D63" s="12" t="inlineStr">
        <is>
          <t/>
        </is>
      </c>
      <c r="E63" s="13" t="inlineStr">
        <is>
          <t>184666-87</t>
        </is>
      </c>
      <c r="F63" s="14" t="inlineStr">
        <is>
          <t>Provider of an online platform intended to transform complex regulations into easy-to-use digital compliance rules. The company's online platform is based on a lean and high performance architecture and uses machine learning, enabling financial organizations to get better API experience and to manage regulations digitally.</t>
        </is>
      </c>
      <c r="G63" s="15" t="inlineStr">
        <is>
          <t>Information Technology</t>
        </is>
      </c>
      <c r="H63" s="16" t="inlineStr">
        <is>
          <t>Software</t>
        </is>
      </c>
      <c r="I63" s="17" t="inlineStr">
        <is>
          <t>Financial Software</t>
        </is>
      </c>
      <c r="J63" s="18" t="inlineStr">
        <is>
          <t>Financial Software*; Business/Productivity Software</t>
        </is>
      </c>
      <c r="K63" s="19" t="inlineStr">
        <is>
          <t>Artificial Intelligence &amp; Machine Learning, Big Data, FinTech, SaaS</t>
        </is>
      </c>
      <c r="L63" s="20" t="inlineStr">
        <is>
          <t>Venture Capital-Backed</t>
        </is>
      </c>
      <c r="M63" s="21" t="n">
        <v>1.26</v>
      </c>
      <c r="N63" s="22" t="inlineStr">
        <is>
          <t>Generating Revenue</t>
        </is>
      </c>
      <c r="O63" s="23" t="inlineStr">
        <is>
          <t>Privately Held (backing)</t>
        </is>
      </c>
      <c r="P63" s="24" t="inlineStr">
        <is>
          <t>Venture Capital</t>
        </is>
      </c>
      <c r="Q63" s="25" t="inlineStr">
        <is>
          <t>www.apiax.com</t>
        </is>
      </c>
      <c r="R63" s="26" t="n">
        <v>4.0</v>
      </c>
      <c r="S63" s="27" t="inlineStr">
        <is>
          <t/>
        </is>
      </c>
      <c r="T63" s="28" t="inlineStr">
        <is>
          <t/>
        </is>
      </c>
      <c r="U63" s="29" t="n">
        <v>2016.0</v>
      </c>
      <c r="V63" s="30" t="inlineStr">
        <is>
          <t/>
        </is>
      </c>
      <c r="W63" s="31" t="inlineStr">
        <is>
          <t/>
        </is>
      </c>
      <c r="X63" s="32" t="inlineStr">
        <is>
          <t/>
        </is>
      </c>
      <c r="Y63" s="33" t="inlineStr">
        <is>
          <t/>
        </is>
      </c>
      <c r="Z63" s="34" t="inlineStr">
        <is>
          <t/>
        </is>
      </c>
      <c r="AA63" s="35" t="inlineStr">
        <is>
          <t/>
        </is>
      </c>
      <c r="AB63" s="36" t="inlineStr">
        <is>
          <t/>
        </is>
      </c>
      <c r="AC63" s="37" t="inlineStr">
        <is>
          <t/>
        </is>
      </c>
      <c r="AD63" s="38" t="inlineStr">
        <is>
          <t/>
        </is>
      </c>
      <c r="AE63" s="39" t="inlineStr">
        <is>
          <t>168801-04P</t>
        </is>
      </c>
      <c r="AF63" s="40" t="inlineStr">
        <is>
          <t>Ralf Huber</t>
        </is>
      </c>
      <c r="AG63" s="41" t="inlineStr">
        <is>
          <t>Co-Founder, Legal &amp; Compliance</t>
        </is>
      </c>
      <c r="AH63" s="42" t="inlineStr">
        <is>
          <t>ralf.huber@apiax.com</t>
        </is>
      </c>
      <c r="AI63" s="43" t="inlineStr">
        <is>
          <t/>
        </is>
      </c>
      <c r="AJ63" s="44" t="inlineStr">
        <is>
          <t>Zurich, Switzerland</t>
        </is>
      </c>
      <c r="AK63" s="45" t="inlineStr">
        <is>
          <t>C/O CO-Work</t>
        </is>
      </c>
      <c r="AL63" s="46" t="inlineStr">
        <is>
          <t>Limmatquai 122</t>
        </is>
      </c>
      <c r="AM63" s="47" t="inlineStr">
        <is>
          <t>Zurich</t>
        </is>
      </c>
      <c r="AN63" s="48" t="inlineStr">
        <is>
          <t/>
        </is>
      </c>
      <c r="AO63" s="49" t="inlineStr">
        <is>
          <t>8001</t>
        </is>
      </c>
      <c r="AP63" s="50" t="inlineStr">
        <is>
          <t>Switzerland</t>
        </is>
      </c>
      <c r="AQ63" s="51" t="inlineStr">
        <is>
          <t/>
        </is>
      </c>
      <c r="AR63" s="52" t="inlineStr">
        <is>
          <t/>
        </is>
      </c>
      <c r="AS63" s="53" t="inlineStr">
        <is>
          <t/>
        </is>
      </c>
      <c r="AT63" s="54" t="inlineStr">
        <is>
          <t>Europe</t>
        </is>
      </c>
      <c r="AU63" s="55" t="inlineStr">
        <is>
          <t>Western Europe</t>
        </is>
      </c>
      <c r="AV63" s="56" t="inlineStr">
        <is>
          <t>The company joined Venture kick and received an undisclosed amount in funding. Earlier, the company joined Labs Lisboa and received an undisclosed amount in funding. Prior to that, the company raised $1.5 million of seed funding in a deal led by Peter Kurer, DIventures and SICTIC on September 25, 2017. Zürcher Kantonalbank and Tugboat Ventures also participated in the round.</t>
        </is>
      </c>
      <c r="AW63" s="57" t="inlineStr">
        <is>
          <t>DIventures, F10, Kickstart Accelerator, Labs Lisboa, Peter Kurer, Swiss ICT Investor Club, Tugboat Ventures, Venture kick, Zürcher Kantonalbank</t>
        </is>
      </c>
      <c r="AX63" s="58" t="n">
        <v>9.0</v>
      </c>
      <c r="AY63" s="59" t="inlineStr">
        <is>
          <t/>
        </is>
      </c>
      <c r="AZ63" s="60" t="inlineStr">
        <is>
          <t/>
        </is>
      </c>
      <c r="BA63" s="61" t="inlineStr">
        <is>
          <t/>
        </is>
      </c>
      <c r="BB63" s="62" t="inlineStr">
        <is>
          <t>DIventures (www.diventures.ch), F10 (www.f10.ch), Kickstart Accelerator (www.kickstart-accelerator.com), Labs Lisboa (www.labslisboa.pt), Tugboat Ventures (www.tugboatventures.com), Venture kick (www.venturekick.ch), Zürcher Kantonalbank (www.zkb.ch)</t>
        </is>
      </c>
      <c r="BC63" s="63" t="inlineStr">
        <is>
          <t/>
        </is>
      </c>
      <c r="BD63" s="64" t="inlineStr">
        <is>
          <t/>
        </is>
      </c>
      <c r="BE63" s="65" t="inlineStr">
        <is>
          <t/>
        </is>
      </c>
      <c r="BF63" s="66" t="inlineStr">
        <is>
          <t/>
        </is>
      </c>
      <c r="BG63" s="67" t="n">
        <v>42669.0</v>
      </c>
      <c r="BH63" s="68" t="inlineStr">
        <is>
          <t/>
        </is>
      </c>
      <c r="BI63" s="69" t="inlineStr">
        <is>
          <t/>
        </is>
      </c>
      <c r="BJ63" s="70" t="inlineStr">
        <is>
          <t/>
        </is>
      </c>
      <c r="BK63" s="71" t="inlineStr">
        <is>
          <t/>
        </is>
      </c>
      <c r="BL63" s="72" t="inlineStr">
        <is>
          <t>Accelerator/Incubator</t>
        </is>
      </c>
      <c r="BM63" s="73" t="inlineStr">
        <is>
          <t/>
        </is>
      </c>
      <c r="BN63" s="74" t="inlineStr">
        <is>
          <t/>
        </is>
      </c>
      <c r="BO63" s="75" t="inlineStr">
        <is>
          <t>Other</t>
        </is>
      </c>
      <c r="BP63" s="76" t="inlineStr">
        <is>
          <t/>
        </is>
      </c>
      <c r="BQ63" s="77" t="inlineStr">
        <is>
          <t/>
        </is>
      </c>
      <c r="BR63" s="78" t="inlineStr">
        <is>
          <t/>
        </is>
      </c>
      <c r="BS63" s="79" t="inlineStr">
        <is>
          <t>Completed</t>
        </is>
      </c>
      <c r="BT63" s="80" t="inlineStr">
        <is>
          <t/>
        </is>
      </c>
      <c r="BU63" s="81" t="inlineStr">
        <is>
          <t/>
        </is>
      </c>
      <c r="BV63" s="82" t="inlineStr">
        <is>
          <t/>
        </is>
      </c>
      <c r="BW63" s="83" t="inlineStr">
        <is>
          <t/>
        </is>
      </c>
      <c r="BX63" s="84" t="inlineStr">
        <is>
          <t/>
        </is>
      </c>
      <c r="BY63" s="85" t="inlineStr">
        <is>
          <t>Accelerator/Incubator</t>
        </is>
      </c>
      <c r="BZ63" s="86" t="inlineStr">
        <is>
          <t/>
        </is>
      </c>
      <c r="CA63" s="87" t="inlineStr">
        <is>
          <t/>
        </is>
      </c>
      <c r="CB63" s="88" t="inlineStr">
        <is>
          <t>Other</t>
        </is>
      </c>
      <c r="CC63" s="89" t="inlineStr">
        <is>
          <t/>
        </is>
      </c>
      <c r="CD63" s="90" t="inlineStr">
        <is>
          <t/>
        </is>
      </c>
      <c r="CE63" s="91" t="inlineStr">
        <is>
          <t/>
        </is>
      </c>
      <c r="CF63" s="92" t="inlineStr">
        <is>
          <t>Completed</t>
        </is>
      </c>
      <c r="CG63" s="93" t="inlineStr">
        <is>
          <t>1,32%</t>
        </is>
      </c>
      <c r="CH63" s="94" t="inlineStr">
        <is>
          <t>96</t>
        </is>
      </c>
      <c r="CI63" s="95" t="inlineStr">
        <is>
          <t>-1,29%</t>
        </is>
      </c>
      <c r="CJ63" s="96" t="inlineStr">
        <is>
          <t>-49,49%</t>
        </is>
      </c>
      <c r="CK63" s="97" t="inlineStr">
        <is>
          <t>0,00%</t>
        </is>
      </c>
      <c r="CL63" s="98" t="inlineStr">
        <is>
          <t>28</t>
        </is>
      </c>
      <c r="CM63" s="99" t="inlineStr">
        <is>
          <t>2,64%</t>
        </is>
      </c>
      <c r="CN63" s="100" t="inlineStr">
        <is>
          <t>99</t>
        </is>
      </c>
      <c r="CO63" s="101" t="inlineStr">
        <is>
          <t/>
        </is>
      </c>
      <c r="CP63" s="102" t="inlineStr">
        <is>
          <t/>
        </is>
      </c>
      <c r="CQ63" s="103" t="inlineStr">
        <is>
          <t>0,00%</t>
        </is>
      </c>
      <c r="CR63" s="104" t="inlineStr">
        <is>
          <t>20</t>
        </is>
      </c>
      <c r="CS63" s="105" t="inlineStr">
        <is>
          <t>0,00%</t>
        </is>
      </c>
      <c r="CT63" s="106" t="inlineStr">
        <is>
          <t>18</t>
        </is>
      </c>
      <c r="CU63" s="107" t="inlineStr">
        <is>
          <t>5,27%</t>
        </is>
      </c>
      <c r="CV63" s="108" t="inlineStr">
        <is>
          <t>100</t>
        </is>
      </c>
      <c r="CW63" s="109" t="inlineStr">
        <is>
          <t>0,72x</t>
        </is>
      </c>
      <c r="CX63" s="110" t="inlineStr">
        <is>
          <t>41</t>
        </is>
      </c>
      <c r="CY63" s="111" t="inlineStr">
        <is>
          <t>-0,22x</t>
        </is>
      </c>
      <c r="CZ63" s="112" t="inlineStr">
        <is>
          <t>-23,45%</t>
        </is>
      </c>
      <c r="DA63" s="113" t="inlineStr">
        <is>
          <t>0,92x</t>
        </is>
      </c>
      <c r="DB63" s="114" t="inlineStr">
        <is>
          <t>49</t>
        </is>
      </c>
      <c r="DC63" s="115" t="inlineStr">
        <is>
          <t>0,53x</t>
        </is>
      </c>
      <c r="DD63" s="116" t="inlineStr">
        <is>
          <t>36</t>
        </is>
      </c>
      <c r="DE63" s="117" t="inlineStr">
        <is>
          <t/>
        </is>
      </c>
      <c r="DF63" s="118" t="inlineStr">
        <is>
          <t/>
        </is>
      </c>
      <c r="DG63" s="119" t="inlineStr">
        <is>
          <t>0,92x</t>
        </is>
      </c>
      <c r="DH63" s="120" t="inlineStr">
        <is>
          <t>49</t>
        </is>
      </c>
      <c r="DI63" s="121" t="inlineStr">
        <is>
          <t>0,02x</t>
        </is>
      </c>
      <c r="DJ63" s="122" t="inlineStr">
        <is>
          <t>4</t>
        </is>
      </c>
      <c r="DK63" s="123" t="inlineStr">
        <is>
          <t>1,04x</t>
        </is>
      </c>
      <c r="DL63" s="124" t="inlineStr">
        <is>
          <t>51</t>
        </is>
      </c>
      <c r="DM63" s="125" t="inlineStr">
        <is>
          <t/>
        </is>
      </c>
      <c r="DN63" s="126" t="inlineStr">
        <is>
          <t/>
        </is>
      </c>
      <c r="DO63" s="127" t="inlineStr">
        <is>
          <t/>
        </is>
      </c>
      <c r="DP63" s="128" t="inlineStr">
        <is>
          <t>17</t>
        </is>
      </c>
      <c r="DQ63" s="129" t="inlineStr">
        <is>
          <t>2</t>
        </is>
      </c>
      <c r="DR63" s="130" t="inlineStr">
        <is>
          <t>13,33%</t>
        </is>
      </c>
      <c r="DS63" s="131" t="inlineStr">
        <is>
          <t>32</t>
        </is>
      </c>
      <c r="DT63" s="132" t="inlineStr">
        <is>
          <t>1</t>
        </is>
      </c>
      <c r="DU63" s="133" t="inlineStr">
        <is>
          <t>3,23%</t>
        </is>
      </c>
      <c r="DV63" s="134" t="inlineStr">
        <is>
          <t>378</t>
        </is>
      </c>
      <c r="DW63" s="135" t="inlineStr">
        <is>
          <t>27</t>
        </is>
      </c>
      <c r="DX63" s="136" t="inlineStr">
        <is>
          <t>7,69%</t>
        </is>
      </c>
      <c r="DY63" s="137" t="inlineStr">
        <is>
          <t>PitchBook Research</t>
        </is>
      </c>
      <c r="DZ63" s="785">
        <f>HYPERLINK("https://my.pitchbook.com?c=184666-87", "View company online")</f>
      </c>
    </row>
    <row r="64">
      <c r="A64" s="139" t="inlineStr">
        <is>
          <t>178787-26</t>
        </is>
      </c>
      <c r="B64" s="140" t="inlineStr">
        <is>
          <t>Sono Motors</t>
        </is>
      </c>
      <c r="C64" s="141" t="inlineStr">
        <is>
          <t/>
        </is>
      </c>
      <c r="D64" s="142" t="inlineStr">
        <is>
          <t/>
        </is>
      </c>
      <c r="E64" s="143" t="inlineStr">
        <is>
          <t>178787-26</t>
        </is>
      </c>
      <c r="F64" s="144" t="inlineStr">
        <is>
          <t>Manufacturer of a battery electric vehicle intended to end the use of fossil fuels in exchange for sustainable mobility. The company's battery electric vehicle is charged through the solar panels attached to its body with electricity generated by the sun, enabling users to charge all common electronics device through bidirectional charging.</t>
        </is>
      </c>
      <c r="G64" s="145" t="inlineStr">
        <is>
          <t>Consumer Products and Services (B2C)</t>
        </is>
      </c>
      <c r="H64" s="146" t="inlineStr">
        <is>
          <t>Transportation</t>
        </is>
      </c>
      <c r="I64" s="147" t="inlineStr">
        <is>
          <t>Automotive</t>
        </is>
      </c>
      <c r="J64" s="148" t="inlineStr">
        <is>
          <t>Automotive*</t>
        </is>
      </c>
      <c r="K64" s="149" t="inlineStr">
        <is>
          <t>Manufacturing</t>
        </is>
      </c>
      <c r="L64" s="150" t="inlineStr">
        <is>
          <t>Angel-Backed</t>
        </is>
      </c>
      <c r="M64" s="151" t="n">
        <v>1.28</v>
      </c>
      <c r="N64" s="152" t="inlineStr">
        <is>
          <t>Generating Revenue</t>
        </is>
      </c>
      <c r="O64" s="153" t="inlineStr">
        <is>
          <t>Privately Held (backing)</t>
        </is>
      </c>
      <c r="P64" s="154" t="inlineStr">
        <is>
          <t>Pre-venture</t>
        </is>
      </c>
      <c r="Q64" s="155" t="inlineStr">
        <is>
          <t>www.sonomotors.com</t>
        </is>
      </c>
      <c r="R64" s="156" t="inlineStr">
        <is>
          <t/>
        </is>
      </c>
      <c r="S64" s="157" t="inlineStr">
        <is>
          <t/>
        </is>
      </c>
      <c r="T64" s="158" t="inlineStr">
        <is>
          <t/>
        </is>
      </c>
      <c r="U64" s="159" t="n">
        <v>2016.0</v>
      </c>
      <c r="V64" s="160" t="inlineStr">
        <is>
          <t/>
        </is>
      </c>
      <c r="W64" s="161" t="inlineStr">
        <is>
          <t/>
        </is>
      </c>
      <c r="X64" s="162" t="inlineStr">
        <is>
          <t/>
        </is>
      </c>
      <c r="Y64" s="163" t="inlineStr">
        <is>
          <t/>
        </is>
      </c>
      <c r="Z64" s="164" t="inlineStr">
        <is>
          <t/>
        </is>
      </c>
      <c r="AA64" s="165" t="inlineStr">
        <is>
          <t/>
        </is>
      </c>
      <c r="AB64" s="166" t="inlineStr">
        <is>
          <t/>
        </is>
      </c>
      <c r="AC64" s="167" t="inlineStr">
        <is>
          <t/>
        </is>
      </c>
      <c r="AD64" s="168" t="inlineStr">
        <is>
          <t/>
        </is>
      </c>
      <c r="AE64" s="169" t="inlineStr">
        <is>
          <t>171755-02P</t>
        </is>
      </c>
      <c r="AF64" s="170" t="inlineStr">
        <is>
          <t>Martin Sabbione</t>
        </is>
      </c>
      <c r="AG64" s="171" t="inlineStr">
        <is>
          <t>Chief Financial Officer</t>
        </is>
      </c>
      <c r="AH64" s="172" t="inlineStr">
        <is>
          <t>martin.sabbione@sonomotors.com</t>
        </is>
      </c>
      <c r="AI64" s="173" t="inlineStr">
        <is>
          <t>+49 (0)89 4520 5818</t>
        </is>
      </c>
      <c r="AJ64" s="174" t="inlineStr">
        <is>
          <t>Munich, Germany</t>
        </is>
      </c>
      <c r="AK64" s="175" t="inlineStr">
        <is>
          <t>Agnes-Pockels-Bogen 1</t>
        </is>
      </c>
      <c r="AL64" s="176" t="inlineStr">
        <is>
          <t/>
        </is>
      </c>
      <c r="AM64" s="177" t="inlineStr">
        <is>
          <t>Munich</t>
        </is>
      </c>
      <c r="AN64" s="178" t="inlineStr">
        <is>
          <t/>
        </is>
      </c>
      <c r="AO64" s="179" t="inlineStr">
        <is>
          <t>80992</t>
        </is>
      </c>
      <c r="AP64" s="180" t="inlineStr">
        <is>
          <t>Germany</t>
        </is>
      </c>
      <c r="AQ64" s="181" t="inlineStr">
        <is>
          <t>+49 (0)89 4520 5818</t>
        </is>
      </c>
      <c r="AR64" s="182" t="inlineStr">
        <is>
          <t/>
        </is>
      </c>
      <c r="AS64" s="183" t="inlineStr">
        <is>
          <t>info@sonomotors.com</t>
        </is>
      </c>
      <c r="AT64" s="184" t="inlineStr">
        <is>
          <t>Europe</t>
        </is>
      </c>
      <c r="AU64" s="185" t="inlineStr">
        <is>
          <t>Western Europe</t>
        </is>
      </c>
      <c r="AV64" s="186" t="inlineStr">
        <is>
          <t>The company raised EUR 1.27931 of angel funding via crowdfunding platform Seedrs on September 1, 2017 putting the company's pre money valuation at 59.58880 million.</t>
        </is>
      </c>
      <c r="AW64" s="187" t="inlineStr">
        <is>
          <t/>
        </is>
      </c>
      <c r="AX64" s="188" t="inlineStr">
        <is>
          <t/>
        </is>
      </c>
      <c r="AY64" s="189" t="inlineStr">
        <is>
          <t/>
        </is>
      </c>
      <c r="AZ64" s="190" t="inlineStr">
        <is>
          <t/>
        </is>
      </c>
      <c r="BA64" s="191" t="inlineStr">
        <is>
          <t/>
        </is>
      </c>
      <c r="BB64" s="192" t="inlineStr">
        <is>
          <t/>
        </is>
      </c>
      <c r="BC64" s="193" t="inlineStr">
        <is>
          <t/>
        </is>
      </c>
      <c r="BD64" s="194" t="inlineStr">
        <is>
          <t/>
        </is>
      </c>
      <c r="BE64" s="195" t="inlineStr">
        <is>
          <t/>
        </is>
      </c>
      <c r="BF64" s="196" t="inlineStr">
        <is>
          <t>Seedrs (Lead Manager or Arranger), Indiegogo (Lead Manager or Arranger)</t>
        </is>
      </c>
      <c r="BG64" s="197" t="n">
        <v>42618.0</v>
      </c>
      <c r="BH64" s="198" t="n">
        <v>0.55</v>
      </c>
      <c r="BI64" s="199" t="inlineStr">
        <is>
          <t>Actual</t>
        </is>
      </c>
      <c r="BJ64" s="200" t="inlineStr">
        <is>
          <t/>
        </is>
      </c>
      <c r="BK64" s="201" t="inlineStr">
        <is>
          <t/>
        </is>
      </c>
      <c r="BL64" s="202" t="inlineStr">
        <is>
          <t>Product Crowdfunding</t>
        </is>
      </c>
      <c r="BM64" s="203" t="inlineStr">
        <is>
          <t/>
        </is>
      </c>
      <c r="BN64" s="204" t="inlineStr">
        <is>
          <t/>
        </is>
      </c>
      <c r="BO64" s="205" t="inlineStr">
        <is>
          <t>Individual</t>
        </is>
      </c>
      <c r="BP64" s="206" t="inlineStr">
        <is>
          <t/>
        </is>
      </c>
      <c r="BQ64" s="207" t="inlineStr">
        <is>
          <t/>
        </is>
      </c>
      <c r="BR64" s="208" t="inlineStr">
        <is>
          <t/>
        </is>
      </c>
      <c r="BS64" s="209" t="inlineStr">
        <is>
          <t>Completed</t>
        </is>
      </c>
      <c r="BT64" s="210" t="n">
        <v>42979.0</v>
      </c>
      <c r="BU64" s="211" t="n">
        <v>1.28</v>
      </c>
      <c r="BV64" s="212" t="inlineStr">
        <is>
          <t>Actual</t>
        </is>
      </c>
      <c r="BW64" s="213" t="n">
        <v>60.62</v>
      </c>
      <c r="BX64" s="214" t="inlineStr">
        <is>
          <t>Estimated</t>
        </is>
      </c>
      <c r="BY64" s="215" t="inlineStr">
        <is>
          <t>Angel (individual)</t>
        </is>
      </c>
      <c r="BZ64" s="216" t="inlineStr">
        <is>
          <t>Angel</t>
        </is>
      </c>
      <c r="CA64" s="217" t="inlineStr">
        <is>
          <t/>
        </is>
      </c>
      <c r="CB64" s="218" t="inlineStr">
        <is>
          <t>Individual</t>
        </is>
      </c>
      <c r="CC64" s="219" t="inlineStr">
        <is>
          <t/>
        </is>
      </c>
      <c r="CD64" s="220" t="inlineStr">
        <is>
          <t/>
        </is>
      </c>
      <c r="CE64" s="221" t="inlineStr">
        <is>
          <t/>
        </is>
      </c>
      <c r="CF64" s="222" t="inlineStr">
        <is>
          <t>Completed</t>
        </is>
      </c>
      <c r="CG64" s="223" t="inlineStr">
        <is>
          <t>-5,71%</t>
        </is>
      </c>
      <c r="CH64" s="224" t="inlineStr">
        <is>
          <t>3</t>
        </is>
      </c>
      <c r="CI64" s="225" t="inlineStr">
        <is>
          <t>-0,13%</t>
        </is>
      </c>
      <c r="CJ64" s="226" t="inlineStr">
        <is>
          <t>-2,24%</t>
        </is>
      </c>
      <c r="CK64" s="227" t="inlineStr">
        <is>
          <t>-14,23%</t>
        </is>
      </c>
      <c r="CL64" s="228" t="inlineStr">
        <is>
          <t>1</t>
        </is>
      </c>
      <c r="CM64" s="229" t="inlineStr">
        <is>
          <t>2,80%</t>
        </is>
      </c>
      <c r="CN64" s="230" t="inlineStr">
        <is>
          <t>99</t>
        </is>
      </c>
      <c r="CO64" s="231" t="inlineStr">
        <is>
          <t>-26,02%</t>
        </is>
      </c>
      <c r="CP64" s="232" t="inlineStr">
        <is>
          <t>3</t>
        </is>
      </c>
      <c r="CQ64" s="233" t="inlineStr">
        <is>
          <t>-2,43%</t>
        </is>
      </c>
      <c r="CR64" s="234" t="inlineStr">
        <is>
          <t>2</t>
        </is>
      </c>
      <c r="CS64" s="235" t="inlineStr">
        <is>
          <t>3,19%</t>
        </is>
      </c>
      <c r="CT64" s="236" t="inlineStr">
        <is>
          <t>99</t>
        </is>
      </c>
      <c r="CU64" s="237" t="inlineStr">
        <is>
          <t>2,41%</t>
        </is>
      </c>
      <c r="CV64" s="238" t="inlineStr">
        <is>
          <t>99</t>
        </is>
      </c>
      <c r="CW64" s="239" t="inlineStr">
        <is>
          <t>10,87x</t>
        </is>
      </c>
      <c r="CX64" s="240" t="inlineStr">
        <is>
          <t>89</t>
        </is>
      </c>
      <c r="CY64" s="241" t="inlineStr">
        <is>
          <t>-0,11x</t>
        </is>
      </c>
      <c r="CZ64" s="242" t="inlineStr">
        <is>
          <t>-0,98%</t>
        </is>
      </c>
      <c r="DA64" s="243" t="inlineStr">
        <is>
          <t>10,30x</t>
        </is>
      </c>
      <c r="DB64" s="244" t="inlineStr">
        <is>
          <t>89</t>
        </is>
      </c>
      <c r="DC64" s="245" t="inlineStr">
        <is>
          <t>11,44x</t>
        </is>
      </c>
      <c r="DD64" s="246" t="inlineStr">
        <is>
          <t>85</t>
        </is>
      </c>
      <c r="DE64" s="247" t="inlineStr">
        <is>
          <t>2,24x</t>
        </is>
      </c>
      <c r="DF64" s="248" t="inlineStr">
        <is>
          <t>68</t>
        </is>
      </c>
      <c r="DG64" s="249" t="inlineStr">
        <is>
          <t>18,36x</t>
        </is>
      </c>
      <c r="DH64" s="250" t="inlineStr">
        <is>
          <t>92</t>
        </is>
      </c>
      <c r="DI64" s="251" t="inlineStr">
        <is>
          <t>16,86x</t>
        </is>
      </c>
      <c r="DJ64" s="252" t="inlineStr">
        <is>
          <t>86</t>
        </is>
      </c>
      <c r="DK64" s="253" t="inlineStr">
        <is>
          <t>6,03x</t>
        </is>
      </c>
      <c r="DL64" s="254" t="inlineStr">
        <is>
          <t>81</t>
        </is>
      </c>
      <c r="DM64" s="255" t="inlineStr">
        <is>
          <t>811</t>
        </is>
      </c>
      <c r="DN64" s="256" t="inlineStr">
        <is>
          <t>100</t>
        </is>
      </c>
      <c r="DO64" s="257" t="inlineStr">
        <is>
          <t>14,06%</t>
        </is>
      </c>
      <c r="DP64" s="258" t="inlineStr">
        <is>
          <t>13.236</t>
        </is>
      </c>
      <c r="DQ64" s="259" t="inlineStr">
        <is>
          <t>153</t>
        </is>
      </c>
      <c r="DR64" s="260" t="inlineStr">
        <is>
          <t>1,17%</t>
        </is>
      </c>
      <c r="DS64" s="261" t="inlineStr">
        <is>
          <t>670</t>
        </is>
      </c>
      <c r="DT64" s="262" t="inlineStr">
        <is>
          <t>-22</t>
        </is>
      </c>
      <c r="DU64" s="263" t="inlineStr">
        <is>
          <t>-3,18%</t>
        </is>
      </c>
      <c r="DV64" s="264" t="inlineStr">
        <is>
          <t>2.239</t>
        </is>
      </c>
      <c r="DW64" s="265" t="inlineStr">
        <is>
          <t>44</t>
        </is>
      </c>
      <c r="DX64" s="266" t="inlineStr">
        <is>
          <t>2,00%</t>
        </is>
      </c>
      <c r="DY64" s="267" t="inlineStr">
        <is>
          <t>PitchBook Research</t>
        </is>
      </c>
      <c r="DZ64" s="786">
        <f>HYPERLINK("https://my.pitchbook.com?c=178787-26", "View company online")</f>
      </c>
    </row>
    <row r="65">
      <c r="A65" s="9" t="inlineStr">
        <is>
          <t>186581-98</t>
        </is>
      </c>
      <c r="B65" s="10" t="inlineStr">
        <is>
          <t>Burrow (Financial Software)</t>
        </is>
      </c>
      <c r="C65" s="11" t="inlineStr">
        <is>
          <t>Dwell</t>
        </is>
      </c>
      <c r="D65" s="12" t="inlineStr">
        <is>
          <t/>
        </is>
      </c>
      <c r="E65" s="13" t="inlineStr">
        <is>
          <t>186581-98</t>
        </is>
      </c>
      <c r="F65" s="14" t="inlineStr">
        <is>
          <t>Developer of an online mortgage platform designed to give borrowers a personalized breakdown of the product options available to them. The company's platform offers mortgage eligibility checker tool to automate the mortgage process, enabling borrowers to get an assess how complex their case is and which lenders will lend to them.</t>
        </is>
      </c>
      <c r="G65" s="15" t="inlineStr">
        <is>
          <t>Information Technology</t>
        </is>
      </c>
      <c r="H65" s="16" t="inlineStr">
        <is>
          <t>Software</t>
        </is>
      </c>
      <c r="I65" s="17" t="inlineStr">
        <is>
          <t>Financial Software</t>
        </is>
      </c>
      <c r="J65" s="18" t="inlineStr">
        <is>
          <t>Financial Software*</t>
        </is>
      </c>
      <c r="K65" s="19" t="inlineStr">
        <is>
          <t>FinTech, Mobile</t>
        </is>
      </c>
      <c r="L65" s="20" t="inlineStr">
        <is>
          <t>Venture Capital-Backed</t>
        </is>
      </c>
      <c r="M65" s="21" t="n">
        <v>1.28</v>
      </c>
      <c r="N65" s="22" t="inlineStr">
        <is>
          <t>Generating Revenue</t>
        </is>
      </c>
      <c r="O65" s="23" t="inlineStr">
        <is>
          <t>Privately Held (backing)</t>
        </is>
      </c>
      <c r="P65" s="24" t="inlineStr">
        <is>
          <t>Venture Capital</t>
        </is>
      </c>
      <c r="Q65" s="25" t="inlineStr">
        <is>
          <t>letsburrow.com</t>
        </is>
      </c>
      <c r="R65" s="26" t="n">
        <v>7.0</v>
      </c>
      <c r="S65" s="27" t="inlineStr">
        <is>
          <t/>
        </is>
      </c>
      <c r="T65" s="28" t="inlineStr">
        <is>
          <t/>
        </is>
      </c>
      <c r="U65" s="29" t="n">
        <v>2016.0</v>
      </c>
      <c r="V65" s="30" t="inlineStr">
        <is>
          <t/>
        </is>
      </c>
      <c r="W65" s="31" t="inlineStr">
        <is>
          <t/>
        </is>
      </c>
      <c r="X65" s="32" t="inlineStr">
        <is>
          <t/>
        </is>
      </c>
      <c r="Y65" s="33" t="inlineStr">
        <is>
          <t/>
        </is>
      </c>
      <c r="Z65" s="34" t="inlineStr">
        <is>
          <t/>
        </is>
      </c>
      <c r="AA65" s="35" t="inlineStr">
        <is>
          <t/>
        </is>
      </c>
      <c r="AB65" s="36" t="inlineStr">
        <is>
          <t/>
        </is>
      </c>
      <c r="AC65" s="37" t="inlineStr">
        <is>
          <t/>
        </is>
      </c>
      <c r="AD65" s="38" t="inlineStr">
        <is>
          <t/>
        </is>
      </c>
      <c r="AE65" s="39" t="inlineStr">
        <is>
          <t>50107-51P</t>
        </is>
      </c>
      <c r="AF65" s="40" t="inlineStr">
        <is>
          <t>Pradeep Raman</t>
        </is>
      </c>
      <c r="AG65" s="41" t="inlineStr">
        <is>
          <t>Chief Executive Officer &amp; Founder</t>
        </is>
      </c>
      <c r="AH65" s="42" t="inlineStr">
        <is>
          <t/>
        </is>
      </c>
      <c r="AI65" s="43" t="inlineStr">
        <is>
          <t>+44 (0)79 3130 8381</t>
        </is>
      </c>
      <c r="AJ65" s="44" t="inlineStr">
        <is>
          <t>London, United Kingdom</t>
        </is>
      </c>
      <c r="AK65" s="45" t="inlineStr">
        <is>
          <t>14 Fishguard Way</t>
        </is>
      </c>
      <c r="AL65" s="46" t="inlineStr">
        <is>
          <t/>
        </is>
      </c>
      <c r="AM65" s="47" t="inlineStr">
        <is>
          <t>London</t>
        </is>
      </c>
      <c r="AN65" s="48" t="inlineStr">
        <is>
          <t>England</t>
        </is>
      </c>
      <c r="AO65" s="49" t="inlineStr">
        <is>
          <t>E16 2RQ</t>
        </is>
      </c>
      <c r="AP65" s="50" t="inlineStr">
        <is>
          <t>United Kingdom</t>
        </is>
      </c>
      <c r="AQ65" s="51" t="inlineStr">
        <is>
          <t>+44 (0)79 3130 8381</t>
        </is>
      </c>
      <c r="AR65" s="52" t="inlineStr">
        <is>
          <t/>
        </is>
      </c>
      <c r="AS65" s="53" t="inlineStr">
        <is>
          <t>hello@letsburrow.com</t>
        </is>
      </c>
      <c r="AT65" s="54" t="inlineStr">
        <is>
          <t>Europe</t>
        </is>
      </c>
      <c r="AU65" s="55" t="inlineStr">
        <is>
          <t>Western Europe</t>
        </is>
      </c>
      <c r="AV65" s="56" t="inlineStr">
        <is>
          <t>The company raised $1.2 million of seed funding in a deal led by Passion Capital on September 20, 2017.</t>
        </is>
      </c>
      <c r="AW65" s="57" t="inlineStr">
        <is>
          <t>Passion Capital</t>
        </is>
      </c>
      <c r="AX65" s="58" t="n">
        <v>1.0</v>
      </c>
      <c r="AY65" s="59" t="inlineStr">
        <is>
          <t/>
        </is>
      </c>
      <c r="AZ65" s="60" t="inlineStr">
        <is>
          <t/>
        </is>
      </c>
      <c r="BA65" s="61" t="inlineStr">
        <is>
          <t/>
        </is>
      </c>
      <c r="BB65" s="62" t="inlineStr">
        <is>
          <t>Passion Capital (www.passioncapital.com)</t>
        </is>
      </c>
      <c r="BC65" s="63" t="inlineStr">
        <is>
          <t/>
        </is>
      </c>
      <c r="BD65" s="64" t="inlineStr">
        <is>
          <t/>
        </is>
      </c>
      <c r="BE65" s="65" t="inlineStr">
        <is>
          <t/>
        </is>
      </c>
      <c r="BF65" s="66" t="inlineStr">
        <is>
          <t/>
        </is>
      </c>
      <c r="BG65" s="67" t="inlineStr">
        <is>
          <t/>
        </is>
      </c>
      <c r="BH65" s="68" t="n">
        <v>0.27</v>
      </c>
      <c r="BI65" s="69" t="inlineStr">
        <is>
          <t>Actual</t>
        </is>
      </c>
      <c r="BJ65" s="70" t="inlineStr">
        <is>
          <t/>
        </is>
      </c>
      <c r="BK65" s="71" t="inlineStr">
        <is>
          <t/>
        </is>
      </c>
      <c r="BL65" s="72" t="inlineStr">
        <is>
          <t>Angel (individual)</t>
        </is>
      </c>
      <c r="BM65" s="73" t="inlineStr">
        <is>
          <t>Angel</t>
        </is>
      </c>
      <c r="BN65" s="74" t="inlineStr">
        <is>
          <t/>
        </is>
      </c>
      <c r="BO65" s="75" t="inlineStr">
        <is>
          <t>Individual</t>
        </is>
      </c>
      <c r="BP65" s="76" t="inlineStr">
        <is>
          <t/>
        </is>
      </c>
      <c r="BQ65" s="77" t="inlineStr">
        <is>
          <t/>
        </is>
      </c>
      <c r="BR65" s="78" t="inlineStr">
        <is>
          <t/>
        </is>
      </c>
      <c r="BS65" s="79" t="inlineStr">
        <is>
          <t>Completed</t>
        </is>
      </c>
      <c r="BT65" s="80" t="n">
        <v>42998.0</v>
      </c>
      <c r="BU65" s="81" t="n">
        <v>1.01</v>
      </c>
      <c r="BV65" s="82" t="inlineStr">
        <is>
          <t>Actual</t>
        </is>
      </c>
      <c r="BW65" s="83" t="inlineStr">
        <is>
          <t/>
        </is>
      </c>
      <c r="BX65" s="84" t="inlineStr">
        <is>
          <t/>
        </is>
      </c>
      <c r="BY65" s="85" t="inlineStr">
        <is>
          <t>Seed Round</t>
        </is>
      </c>
      <c r="BZ65" s="86" t="inlineStr">
        <is>
          <t>Seed</t>
        </is>
      </c>
      <c r="CA65" s="87" t="inlineStr">
        <is>
          <t/>
        </is>
      </c>
      <c r="CB65" s="88" t="inlineStr">
        <is>
          <t>Venture Capital</t>
        </is>
      </c>
      <c r="CC65" s="89" t="inlineStr">
        <is>
          <t/>
        </is>
      </c>
      <c r="CD65" s="90" t="inlineStr">
        <is>
          <t/>
        </is>
      </c>
      <c r="CE65" s="91" t="inlineStr">
        <is>
          <t/>
        </is>
      </c>
      <c r="CF65" s="92" t="inlineStr">
        <is>
          <t>Completed</t>
        </is>
      </c>
      <c r="CG65" s="93" t="inlineStr">
        <is>
          <t>0,17%</t>
        </is>
      </c>
      <c r="CH65" s="94" t="inlineStr">
        <is>
          <t>86</t>
        </is>
      </c>
      <c r="CI65" s="95" t="inlineStr">
        <is>
          <t>-0,10%</t>
        </is>
      </c>
      <c r="CJ65" s="96" t="inlineStr">
        <is>
          <t>-37,47%</t>
        </is>
      </c>
      <c r="CK65" s="97" t="inlineStr">
        <is>
          <t/>
        </is>
      </c>
      <c r="CL65" s="98" t="inlineStr">
        <is>
          <t/>
        </is>
      </c>
      <c r="CM65" s="99" t="inlineStr">
        <is>
          <t>0,17%</t>
        </is>
      </c>
      <c r="CN65" s="100" t="inlineStr">
        <is>
          <t>68</t>
        </is>
      </c>
      <c r="CO65" s="101" t="inlineStr">
        <is>
          <t/>
        </is>
      </c>
      <c r="CP65" s="102" t="inlineStr">
        <is>
          <t/>
        </is>
      </c>
      <c r="CQ65" s="103" t="inlineStr">
        <is>
          <t/>
        </is>
      </c>
      <c r="CR65" s="104" t="inlineStr">
        <is>
          <t/>
        </is>
      </c>
      <c r="CS65" s="105" t="inlineStr">
        <is>
          <t>0,53%</t>
        </is>
      </c>
      <c r="CT65" s="106" t="inlineStr">
        <is>
          <t>88</t>
        </is>
      </c>
      <c r="CU65" s="107" t="inlineStr">
        <is>
          <t>-0,20%</t>
        </is>
      </c>
      <c r="CV65" s="108" t="inlineStr">
        <is>
          <t>3</t>
        </is>
      </c>
      <c r="CW65" s="109" t="inlineStr">
        <is>
          <t>2,19x</t>
        </is>
      </c>
      <c r="CX65" s="110" t="inlineStr">
        <is>
          <t>66</t>
        </is>
      </c>
      <c r="CY65" s="111" t="inlineStr">
        <is>
          <t>-0,03x</t>
        </is>
      </c>
      <c r="CZ65" s="112" t="inlineStr">
        <is>
          <t>-1,26%</t>
        </is>
      </c>
      <c r="DA65" s="113" t="inlineStr">
        <is>
          <t/>
        </is>
      </c>
      <c r="DB65" s="114" t="inlineStr">
        <is>
          <t/>
        </is>
      </c>
      <c r="DC65" s="115" t="inlineStr">
        <is>
          <t>2,19x</t>
        </is>
      </c>
      <c r="DD65" s="116" t="inlineStr">
        <is>
          <t>63</t>
        </is>
      </c>
      <c r="DE65" s="117" t="inlineStr">
        <is>
          <t/>
        </is>
      </c>
      <c r="DF65" s="118" t="inlineStr">
        <is>
          <t/>
        </is>
      </c>
      <c r="DG65" s="119" t="inlineStr">
        <is>
          <t/>
        </is>
      </c>
      <c r="DH65" s="120" t="inlineStr">
        <is>
          <t/>
        </is>
      </c>
      <c r="DI65" s="121" t="inlineStr">
        <is>
          <t>1,56x</t>
        </is>
      </c>
      <c r="DJ65" s="122" t="inlineStr">
        <is>
          <t>58</t>
        </is>
      </c>
      <c r="DK65" s="123" t="inlineStr">
        <is>
          <t>2,83x</t>
        </is>
      </c>
      <c r="DL65" s="124" t="inlineStr">
        <is>
          <t>70</t>
        </is>
      </c>
      <c r="DM65" s="125" t="inlineStr">
        <is>
          <t/>
        </is>
      </c>
      <c r="DN65" s="126" t="inlineStr">
        <is>
          <t/>
        </is>
      </c>
      <c r="DO65" s="127" t="inlineStr">
        <is>
          <t/>
        </is>
      </c>
      <c r="DP65" s="128" t="inlineStr">
        <is>
          <t>1.232</t>
        </is>
      </c>
      <c r="DQ65" s="129" t="inlineStr">
        <is>
          <t>1</t>
        </is>
      </c>
      <c r="DR65" s="130" t="inlineStr">
        <is>
          <t>0,08%</t>
        </is>
      </c>
      <c r="DS65" s="131" t="inlineStr">
        <is>
          <t/>
        </is>
      </c>
      <c r="DT65" s="132" t="inlineStr">
        <is>
          <t/>
        </is>
      </c>
      <c r="DU65" s="133" t="inlineStr">
        <is>
          <t/>
        </is>
      </c>
      <c r="DV65" s="134" t="inlineStr">
        <is>
          <t>1.060</t>
        </is>
      </c>
      <c r="DW65" s="135" t="inlineStr">
        <is>
          <t>-2</t>
        </is>
      </c>
      <c r="DX65" s="136" t="inlineStr">
        <is>
          <t>-0,19%</t>
        </is>
      </c>
      <c r="DY65" s="137" t="inlineStr">
        <is>
          <t>PitchBook Research</t>
        </is>
      </c>
      <c r="DZ65" s="785">
        <f>HYPERLINK("https://my.pitchbook.com?c=186581-98", "View company online")</f>
      </c>
    </row>
    <row r="66">
      <c r="A66" s="139" t="inlineStr">
        <is>
          <t>169080-58</t>
        </is>
      </c>
      <c r="B66" s="140" t="inlineStr">
        <is>
          <t>Norbloc</t>
        </is>
      </c>
      <c r="C66" s="141" t="inlineStr">
        <is>
          <t/>
        </is>
      </c>
      <c r="D66" s="142" t="inlineStr">
        <is>
          <t/>
        </is>
      </c>
      <c r="E66" s="143" t="inlineStr">
        <is>
          <t>169080-58</t>
        </is>
      </c>
      <c r="F66" s="144" t="inlineStr">
        <is>
          <t>Provider of a know-your-customer (KYC) blockchain platform designed to simplify compliance process with Fides. The company's know-your-customer (KYC) blockchain platform is a KYC ecosystems to digitize customer KYC profiles enabling financial institutions to share KYC profiles and comply with financial regularities to both save time and monetize their efforts.</t>
        </is>
      </c>
      <c r="G66" s="145" t="inlineStr">
        <is>
          <t>Information Technology</t>
        </is>
      </c>
      <c r="H66" s="146" t="inlineStr">
        <is>
          <t>Software</t>
        </is>
      </c>
      <c r="I66" s="147" t="inlineStr">
        <is>
          <t>Financial Software</t>
        </is>
      </c>
      <c r="J66" s="148" t="inlineStr">
        <is>
          <t>Financial Software*; Social/Platform Software</t>
        </is>
      </c>
      <c r="K66" s="149" t="inlineStr">
        <is>
          <t>Cryptocurrency/Blockchain, FinTech</t>
        </is>
      </c>
      <c r="L66" s="150" t="inlineStr">
        <is>
          <t>Venture Capital-Backed</t>
        </is>
      </c>
      <c r="M66" s="151" t="n">
        <v>1.36</v>
      </c>
      <c r="N66" s="152" t="inlineStr">
        <is>
          <t>Generating Revenue</t>
        </is>
      </c>
      <c r="O66" s="153" t="inlineStr">
        <is>
          <t>Privately Held (backing)</t>
        </is>
      </c>
      <c r="P66" s="154" t="inlineStr">
        <is>
          <t>Venture Capital</t>
        </is>
      </c>
      <c r="Q66" s="155" t="inlineStr">
        <is>
          <t>www.norbloc.com</t>
        </is>
      </c>
      <c r="R66" s="156" t="n">
        <v>5.0</v>
      </c>
      <c r="S66" s="157" t="inlineStr">
        <is>
          <t/>
        </is>
      </c>
      <c r="T66" s="158" t="inlineStr">
        <is>
          <t/>
        </is>
      </c>
      <c r="U66" s="159" t="n">
        <v>2016.0</v>
      </c>
      <c r="V66" s="160" t="inlineStr">
        <is>
          <t/>
        </is>
      </c>
      <c r="W66" s="161" t="inlineStr">
        <is>
          <t/>
        </is>
      </c>
      <c r="X66" s="162" t="inlineStr">
        <is>
          <t/>
        </is>
      </c>
      <c r="Y66" s="163" t="n">
        <v>0.00949</v>
      </c>
      <c r="Z66" s="164" t="inlineStr">
        <is>
          <t/>
        </is>
      </c>
      <c r="AA66" s="165" t="n">
        <v>-0.14229</v>
      </c>
      <c r="AB66" s="166" t="inlineStr">
        <is>
          <t/>
        </is>
      </c>
      <c r="AC66" s="167" t="n">
        <v>-0.14229</v>
      </c>
      <c r="AD66" s="168" t="inlineStr">
        <is>
          <t>FY 2016</t>
        </is>
      </c>
      <c r="AE66" s="169" t="inlineStr">
        <is>
          <t>153270-01P</t>
        </is>
      </c>
      <c r="AF66" s="170" t="inlineStr">
        <is>
          <t>Astyanax Kanakakis</t>
        </is>
      </c>
      <c r="AG66" s="171" t="inlineStr">
        <is>
          <t>Co-Founder &amp; Chief Executive Officer</t>
        </is>
      </c>
      <c r="AH66" s="172" t="inlineStr">
        <is>
          <t>astyanax.kanakakis@norbloc.com</t>
        </is>
      </c>
      <c r="AI66" s="173" t="inlineStr">
        <is>
          <t>+46 (0)73 896 76 38</t>
        </is>
      </c>
      <c r="AJ66" s="174" t="inlineStr">
        <is>
          <t>Stockholm, Sweden</t>
        </is>
      </c>
      <c r="AK66" s="175" t="inlineStr">
        <is>
          <t>Karlavagen 18</t>
        </is>
      </c>
      <c r="AL66" s="176" t="inlineStr">
        <is>
          <t/>
        </is>
      </c>
      <c r="AM66" s="177" t="inlineStr">
        <is>
          <t>Stockholm</t>
        </is>
      </c>
      <c r="AN66" s="178" t="inlineStr">
        <is>
          <t/>
        </is>
      </c>
      <c r="AO66" s="179" t="inlineStr">
        <is>
          <t>114 31</t>
        </is>
      </c>
      <c r="AP66" s="180" t="inlineStr">
        <is>
          <t>Sweden</t>
        </is>
      </c>
      <c r="AQ66" s="181" t="inlineStr">
        <is>
          <t>+46 (0)73 896 76 38</t>
        </is>
      </c>
      <c r="AR66" s="182" t="inlineStr">
        <is>
          <t/>
        </is>
      </c>
      <c r="AS66" s="183" t="inlineStr">
        <is>
          <t>info@norbloc.com</t>
        </is>
      </c>
      <c r="AT66" s="184" t="inlineStr">
        <is>
          <t>Europe</t>
        </is>
      </c>
      <c r="AU66" s="185" t="inlineStr">
        <is>
          <t>Northern Europe</t>
        </is>
      </c>
      <c r="AV66" s="186" t="inlineStr">
        <is>
          <t>The company raised $1.6 million of seed funding in a deal led by Marathon Venture Capital on October 18, 2017. Digital Currency Group, Inbox Capital, Back in Black, and undisclosed founding team of classifieds website Avito also participated in the round. The company intends to use the funds to expand their existing team, build the business and acquire talent across the markets. The company also joined FinTech Hive on August 22, 2017. Prior to that, the company joined SUP46 in 2017.</t>
        </is>
      </c>
      <c r="AW66" s="187" t="inlineStr">
        <is>
          <t>Back in Black, Digital Currency Group, FinTech Hive, Inbox Capital, Marathon VC, SUP46</t>
        </is>
      </c>
      <c r="AX66" s="188" t="n">
        <v>6.0</v>
      </c>
      <c r="AY66" s="189" t="inlineStr">
        <is>
          <t/>
        </is>
      </c>
      <c r="AZ66" s="190" t="inlineStr">
        <is>
          <t/>
        </is>
      </c>
      <c r="BA66" s="191" t="inlineStr">
        <is>
          <t/>
        </is>
      </c>
      <c r="BB66" s="192" t="inlineStr">
        <is>
          <t>Digital Currency Group (www.dcg.co), FinTech Hive (www.fintechhive.difc.ae), Marathon VC (www.marathon.vc), SUP46 (www.SUP46.com)</t>
        </is>
      </c>
      <c r="BC66" s="193" t="inlineStr">
        <is>
          <t/>
        </is>
      </c>
      <c r="BD66" s="194" t="inlineStr">
        <is>
          <t/>
        </is>
      </c>
      <c r="BE66" s="195" t="inlineStr">
        <is>
          <t/>
        </is>
      </c>
      <c r="BF66" s="196" t="inlineStr">
        <is>
          <t/>
        </is>
      </c>
      <c r="BG66" s="197" t="n">
        <v>42736.0</v>
      </c>
      <c r="BH66" s="198" t="inlineStr">
        <is>
          <t/>
        </is>
      </c>
      <c r="BI66" s="199" t="inlineStr">
        <is>
          <t/>
        </is>
      </c>
      <c r="BJ66" s="200" t="inlineStr">
        <is>
          <t/>
        </is>
      </c>
      <c r="BK66" s="201" t="inlineStr">
        <is>
          <t/>
        </is>
      </c>
      <c r="BL66" s="202" t="inlineStr">
        <is>
          <t>Accelerator/Incubator</t>
        </is>
      </c>
      <c r="BM66" s="203" t="inlineStr">
        <is>
          <t/>
        </is>
      </c>
      <c r="BN66" s="204" t="inlineStr">
        <is>
          <t/>
        </is>
      </c>
      <c r="BO66" s="205" t="inlineStr">
        <is>
          <t>Other</t>
        </is>
      </c>
      <c r="BP66" s="206" t="inlineStr">
        <is>
          <t/>
        </is>
      </c>
      <c r="BQ66" s="207" t="inlineStr">
        <is>
          <t/>
        </is>
      </c>
      <c r="BR66" s="208" t="inlineStr">
        <is>
          <t/>
        </is>
      </c>
      <c r="BS66" s="209" t="inlineStr">
        <is>
          <t>Completed</t>
        </is>
      </c>
      <c r="BT66" s="210" t="n">
        <v>43026.0</v>
      </c>
      <c r="BU66" s="211" t="n">
        <v>1.36</v>
      </c>
      <c r="BV66" s="212" t="inlineStr">
        <is>
          <t>Actual</t>
        </is>
      </c>
      <c r="BW66" s="213" t="inlineStr">
        <is>
          <t/>
        </is>
      </c>
      <c r="BX66" s="214" t="inlineStr">
        <is>
          <t/>
        </is>
      </c>
      <c r="BY66" s="215" t="inlineStr">
        <is>
          <t>Seed Round</t>
        </is>
      </c>
      <c r="BZ66" s="216" t="inlineStr">
        <is>
          <t>Seed</t>
        </is>
      </c>
      <c r="CA66" s="217" t="inlineStr">
        <is>
          <t/>
        </is>
      </c>
      <c r="CB66" s="218" t="inlineStr">
        <is>
          <t>Venture Capital</t>
        </is>
      </c>
      <c r="CC66" s="219" t="inlineStr">
        <is>
          <t/>
        </is>
      </c>
      <c r="CD66" s="220" t="inlineStr">
        <is>
          <t/>
        </is>
      </c>
      <c r="CE66" s="221" t="inlineStr">
        <is>
          <t/>
        </is>
      </c>
      <c r="CF66" s="222" t="inlineStr">
        <is>
          <t>Completed</t>
        </is>
      </c>
      <c r="CG66" s="223" t="inlineStr">
        <is>
          <t>0,00%</t>
        </is>
      </c>
      <c r="CH66" s="224" t="inlineStr">
        <is>
          <t>33</t>
        </is>
      </c>
      <c r="CI66" s="225" t="inlineStr">
        <is>
          <t>0,00%</t>
        </is>
      </c>
      <c r="CJ66" s="226" t="inlineStr">
        <is>
          <t>0,00%</t>
        </is>
      </c>
      <c r="CK66" s="227" t="inlineStr">
        <is>
          <t>0,00%</t>
        </is>
      </c>
      <c r="CL66" s="228" t="inlineStr">
        <is>
          <t>28</t>
        </is>
      </c>
      <c r="CM66" s="229" t="inlineStr">
        <is>
          <t>0,00%</t>
        </is>
      </c>
      <c r="CN66" s="230" t="inlineStr">
        <is>
          <t>20</t>
        </is>
      </c>
      <c r="CO66" s="231" t="inlineStr">
        <is>
          <t>0,00%</t>
        </is>
      </c>
      <c r="CP66" s="232" t="inlineStr">
        <is>
          <t>37</t>
        </is>
      </c>
      <c r="CQ66" s="233" t="inlineStr">
        <is>
          <t>0,00%</t>
        </is>
      </c>
      <c r="CR66" s="234" t="inlineStr">
        <is>
          <t>20</t>
        </is>
      </c>
      <c r="CS66" s="235" t="inlineStr">
        <is>
          <t/>
        </is>
      </c>
      <c r="CT66" s="236" t="inlineStr">
        <is>
          <t/>
        </is>
      </c>
      <c r="CU66" s="237" t="inlineStr">
        <is>
          <t>0,00%</t>
        </is>
      </c>
      <c r="CV66" s="238" t="inlineStr">
        <is>
          <t>21</t>
        </is>
      </c>
      <c r="CW66" s="239" t="inlineStr">
        <is>
          <t>0,25x</t>
        </is>
      </c>
      <c r="CX66" s="240" t="inlineStr">
        <is>
          <t>19</t>
        </is>
      </c>
      <c r="CY66" s="241" t="inlineStr">
        <is>
          <t>-0,05x</t>
        </is>
      </c>
      <c r="CZ66" s="242" t="inlineStr">
        <is>
          <t>-16,10%</t>
        </is>
      </c>
      <c r="DA66" s="243" t="inlineStr">
        <is>
          <t>0,57x</t>
        </is>
      </c>
      <c r="DB66" s="244" t="inlineStr">
        <is>
          <t>38</t>
        </is>
      </c>
      <c r="DC66" s="245" t="inlineStr">
        <is>
          <t>0,17x</t>
        </is>
      </c>
      <c r="DD66" s="246" t="inlineStr">
        <is>
          <t>19</t>
        </is>
      </c>
      <c r="DE66" s="247" t="inlineStr">
        <is>
          <t>0,19x</t>
        </is>
      </c>
      <c r="DF66" s="248" t="inlineStr">
        <is>
          <t>12</t>
        </is>
      </c>
      <c r="DG66" s="249" t="inlineStr">
        <is>
          <t>0,94x</t>
        </is>
      </c>
      <c r="DH66" s="250" t="inlineStr">
        <is>
          <t>49</t>
        </is>
      </c>
      <c r="DI66" s="251" t="inlineStr">
        <is>
          <t/>
        </is>
      </c>
      <c r="DJ66" s="252" t="inlineStr">
        <is>
          <t/>
        </is>
      </c>
      <c r="DK66" s="253" t="inlineStr">
        <is>
          <t>0,17x</t>
        </is>
      </c>
      <c r="DL66" s="254" t="inlineStr">
        <is>
          <t>22</t>
        </is>
      </c>
      <c r="DM66" s="255" t="inlineStr">
        <is>
          <t>69</t>
        </is>
      </c>
      <c r="DN66" s="256" t="inlineStr">
        <is>
          <t>5</t>
        </is>
      </c>
      <c r="DO66" s="257" t="inlineStr">
        <is>
          <t>7,81%</t>
        </is>
      </c>
      <c r="DP66" s="258" t="inlineStr">
        <is>
          <t/>
        </is>
      </c>
      <c r="DQ66" s="259" t="inlineStr">
        <is>
          <t/>
        </is>
      </c>
      <c r="DR66" s="260" t="inlineStr">
        <is>
          <t/>
        </is>
      </c>
      <c r="DS66" s="261" t="inlineStr">
        <is>
          <t>34</t>
        </is>
      </c>
      <c r="DT66" s="262" t="inlineStr">
        <is>
          <t>-1</t>
        </is>
      </c>
      <c r="DU66" s="263" t="inlineStr">
        <is>
          <t>-2,86%</t>
        </is>
      </c>
      <c r="DV66" s="264" t="inlineStr">
        <is>
          <t>62</t>
        </is>
      </c>
      <c r="DW66" s="265" t="inlineStr">
        <is>
          <t>6</t>
        </is>
      </c>
      <c r="DX66" s="266" t="inlineStr">
        <is>
          <t>10,71%</t>
        </is>
      </c>
      <c r="DY66" s="267" t="inlineStr">
        <is>
          <t>PitchBook Research</t>
        </is>
      </c>
      <c r="DZ66" s="786">
        <f>HYPERLINK("https://my.pitchbook.com?c=169080-58", "View company online")</f>
      </c>
    </row>
    <row r="67">
      <c r="A67" s="9" t="inlineStr">
        <is>
          <t>180147-97</t>
        </is>
      </c>
      <c r="B67" s="10" t="inlineStr">
        <is>
          <t>Flux Systems</t>
        </is>
      </c>
      <c r="C67" s="11" t="inlineStr">
        <is>
          <t/>
        </is>
      </c>
      <c r="D67" s="12" t="inlineStr">
        <is>
          <t/>
        </is>
      </c>
      <c r="E67" s="13" t="inlineStr">
        <is>
          <t>180147-97</t>
        </is>
      </c>
      <c r="F67" s="14" t="inlineStr">
        <is>
          <t>Developer of a retail application designed to offer digital receipts. The company's retail application links receipts to customer's existing bank card and bridges the gap between the itemized receipts data captured by a merchant's point-of-sale system and information that shows up on bank statement or mobile banking application, enabling retailer to know their previously anonymous customer so that they can make better decisions for business and customers to get loyalty points by each purchase which can be used later as coupons.</t>
        </is>
      </c>
      <c r="G67" s="15" t="inlineStr">
        <is>
          <t>Information Technology</t>
        </is>
      </c>
      <c r="H67" s="16" t="inlineStr">
        <is>
          <t>Software</t>
        </is>
      </c>
      <c r="I67" s="17" t="inlineStr">
        <is>
          <t>Application Software</t>
        </is>
      </c>
      <c r="J67" s="18" t="inlineStr">
        <is>
          <t>Application Software*; Financial Software</t>
        </is>
      </c>
      <c r="K67" s="19" t="inlineStr">
        <is>
          <t>E-Commerce, FinTech, Mobile</t>
        </is>
      </c>
      <c r="L67" s="20" t="inlineStr">
        <is>
          <t>Venture Capital-Backed</t>
        </is>
      </c>
      <c r="M67" s="21" t="n">
        <v>1.37</v>
      </c>
      <c r="N67" s="22" t="inlineStr">
        <is>
          <t>Generating Revenue</t>
        </is>
      </c>
      <c r="O67" s="23" t="inlineStr">
        <is>
          <t>Privately Held (backing)</t>
        </is>
      </c>
      <c r="P67" s="24" t="inlineStr">
        <is>
          <t>Venture Capital</t>
        </is>
      </c>
      <c r="Q67" s="25" t="inlineStr">
        <is>
          <t>www.tryflux.com</t>
        </is>
      </c>
      <c r="R67" s="26" t="inlineStr">
        <is>
          <t/>
        </is>
      </c>
      <c r="S67" s="27" t="inlineStr">
        <is>
          <t/>
        </is>
      </c>
      <c r="T67" s="28" t="inlineStr">
        <is>
          <t/>
        </is>
      </c>
      <c r="U67" s="29" t="n">
        <v>2015.0</v>
      </c>
      <c r="V67" s="30" t="inlineStr">
        <is>
          <t/>
        </is>
      </c>
      <c r="W67" s="31" t="inlineStr">
        <is>
          <t/>
        </is>
      </c>
      <c r="X67" s="32" t="inlineStr">
        <is>
          <t/>
        </is>
      </c>
      <c r="Y67" s="33" t="inlineStr">
        <is>
          <t/>
        </is>
      </c>
      <c r="Z67" s="34" t="inlineStr">
        <is>
          <t/>
        </is>
      </c>
      <c r="AA67" s="35" t="inlineStr">
        <is>
          <t/>
        </is>
      </c>
      <c r="AB67" s="36" t="inlineStr">
        <is>
          <t/>
        </is>
      </c>
      <c r="AC67" s="37" t="inlineStr">
        <is>
          <t/>
        </is>
      </c>
      <c r="AD67" s="38" t="inlineStr">
        <is>
          <t/>
        </is>
      </c>
      <c r="AE67" s="39" t="inlineStr">
        <is>
          <t>107183-80P</t>
        </is>
      </c>
      <c r="AF67" s="40" t="inlineStr">
        <is>
          <t>Matty Cusden-Ross</t>
        </is>
      </c>
      <c r="AG67" s="41" t="inlineStr">
        <is>
          <t>Co-Founder &amp; Chief Executive Officer</t>
        </is>
      </c>
      <c r="AH67" s="42" t="inlineStr">
        <is>
          <t>matty@tryflux.com</t>
        </is>
      </c>
      <c r="AI67" s="43" t="inlineStr">
        <is>
          <t/>
        </is>
      </c>
      <c r="AJ67" s="44" t="inlineStr">
        <is>
          <t>London, United Kingdom</t>
        </is>
      </c>
      <c r="AK67" s="45" t="inlineStr">
        <is>
          <t>41 Luke Street</t>
        </is>
      </c>
      <c r="AL67" s="46" t="inlineStr">
        <is>
          <t/>
        </is>
      </c>
      <c r="AM67" s="47" t="inlineStr">
        <is>
          <t>London</t>
        </is>
      </c>
      <c r="AN67" s="48" t="inlineStr">
        <is>
          <t>England</t>
        </is>
      </c>
      <c r="AO67" s="49" t="inlineStr">
        <is>
          <t>EC2A 4DP</t>
        </is>
      </c>
      <c r="AP67" s="50" t="inlineStr">
        <is>
          <t>United Kingdom</t>
        </is>
      </c>
      <c r="AQ67" s="51" t="inlineStr">
        <is>
          <t/>
        </is>
      </c>
      <c r="AR67" s="52" t="inlineStr">
        <is>
          <t/>
        </is>
      </c>
      <c r="AS67" s="53" t="inlineStr">
        <is>
          <t>hello@tryflux.com</t>
        </is>
      </c>
      <c r="AT67" s="54" t="inlineStr">
        <is>
          <t>Europe</t>
        </is>
      </c>
      <c r="AU67" s="55" t="inlineStr">
        <is>
          <t>Western Europe</t>
        </is>
      </c>
      <c r="AV67" s="56" t="inlineStr">
        <is>
          <t>The company raised $1.5 million of seed funding from PROfounders Capital, Force Over Mass Capital and Anthemis Group on September 11, 2017.</t>
        </is>
      </c>
      <c r="AW67" s="57" t="inlineStr">
        <is>
          <t>Anthemis Group, Barclays Accelerator, Force Over Mass Capital, PROfounders Capital, Techstars</t>
        </is>
      </c>
      <c r="AX67" s="58" t="n">
        <v>5.0</v>
      </c>
      <c r="AY67" s="59" t="inlineStr">
        <is>
          <t/>
        </is>
      </c>
      <c r="AZ67" s="60" t="inlineStr">
        <is>
          <t/>
        </is>
      </c>
      <c r="BA67" s="61" t="inlineStr">
        <is>
          <t/>
        </is>
      </c>
      <c r="BB67" s="62" t="inlineStr">
        <is>
          <t>Anthemis Group (www.anthemis.com), Barclays Accelerator (www.barclaysaccelerator.com), Force Over Mass Capital (www.fomcap.com), PROfounders Capital (www.profounderscapital.com), Techstars (www.techstars.com)</t>
        </is>
      </c>
      <c r="BC67" s="63" t="inlineStr">
        <is>
          <t/>
        </is>
      </c>
      <c r="BD67" s="64" t="inlineStr">
        <is>
          <t/>
        </is>
      </c>
      <c r="BE67" s="65" t="inlineStr">
        <is>
          <t/>
        </is>
      </c>
      <c r="BF67" s="66" t="inlineStr">
        <is>
          <t/>
        </is>
      </c>
      <c r="BG67" s="67" t="inlineStr">
        <is>
          <t/>
        </is>
      </c>
      <c r="BH67" s="68" t="n">
        <v>0.1</v>
      </c>
      <c r="BI67" s="69" t="inlineStr">
        <is>
          <t>Actual</t>
        </is>
      </c>
      <c r="BJ67" s="70" t="n">
        <v>0.28</v>
      </c>
      <c r="BK67" s="71" t="inlineStr">
        <is>
          <t>Actual</t>
        </is>
      </c>
      <c r="BL67" s="72" t="inlineStr">
        <is>
          <t>Accelerator/Incubator</t>
        </is>
      </c>
      <c r="BM67" s="73" t="inlineStr">
        <is>
          <t/>
        </is>
      </c>
      <c r="BN67" s="74" t="inlineStr">
        <is>
          <t/>
        </is>
      </c>
      <c r="BO67" s="75" t="inlineStr">
        <is>
          <t>Other</t>
        </is>
      </c>
      <c r="BP67" s="76" t="inlineStr">
        <is>
          <t>Convertible Debt</t>
        </is>
      </c>
      <c r="BQ67" s="77" t="inlineStr">
        <is>
          <t/>
        </is>
      </c>
      <c r="BR67" s="78" t="inlineStr">
        <is>
          <t/>
        </is>
      </c>
      <c r="BS67" s="79" t="inlineStr">
        <is>
          <t>Completed</t>
        </is>
      </c>
      <c r="BT67" s="80" t="n">
        <v>42989.0</v>
      </c>
      <c r="BU67" s="81" t="n">
        <v>1.26</v>
      </c>
      <c r="BV67" s="82" t="inlineStr">
        <is>
          <t>Actual</t>
        </is>
      </c>
      <c r="BW67" s="83" t="inlineStr">
        <is>
          <t/>
        </is>
      </c>
      <c r="BX67" s="84" t="inlineStr">
        <is>
          <t/>
        </is>
      </c>
      <c r="BY67" s="85" t="inlineStr">
        <is>
          <t>Seed Round</t>
        </is>
      </c>
      <c r="BZ67" s="86" t="inlineStr">
        <is>
          <t>Seed</t>
        </is>
      </c>
      <c r="CA67" s="87" t="inlineStr">
        <is>
          <t/>
        </is>
      </c>
      <c r="CB67" s="88" t="inlineStr">
        <is>
          <t>Venture Capital</t>
        </is>
      </c>
      <c r="CC67" s="89" t="inlineStr">
        <is>
          <t/>
        </is>
      </c>
      <c r="CD67" s="90" t="inlineStr">
        <is>
          <t/>
        </is>
      </c>
      <c r="CE67" s="91" t="inlineStr">
        <is>
          <t/>
        </is>
      </c>
      <c r="CF67" s="92" t="inlineStr">
        <is>
          <t>Completed</t>
        </is>
      </c>
      <c r="CG67" s="93" t="inlineStr">
        <is>
          <t>1,26%</t>
        </is>
      </c>
      <c r="CH67" s="94" t="inlineStr">
        <is>
          <t>96</t>
        </is>
      </c>
      <c r="CI67" s="95" t="inlineStr">
        <is>
          <t>-0,02%</t>
        </is>
      </c>
      <c r="CJ67" s="96" t="inlineStr">
        <is>
          <t>-1,60%</t>
        </is>
      </c>
      <c r="CK67" s="97" t="inlineStr">
        <is>
          <t>1,48%</t>
        </is>
      </c>
      <c r="CL67" s="98" t="inlineStr">
        <is>
          <t>96</t>
        </is>
      </c>
      <c r="CM67" s="99" t="inlineStr">
        <is>
          <t>1,05%</t>
        </is>
      </c>
      <c r="CN67" s="100" t="inlineStr">
        <is>
          <t>96</t>
        </is>
      </c>
      <c r="CO67" s="101" t="inlineStr">
        <is>
          <t>0,00%</t>
        </is>
      </c>
      <c r="CP67" s="102" t="inlineStr">
        <is>
          <t>37</t>
        </is>
      </c>
      <c r="CQ67" s="103" t="inlineStr">
        <is>
          <t>2,95%</t>
        </is>
      </c>
      <c r="CR67" s="104" t="inlineStr">
        <is>
          <t>97</t>
        </is>
      </c>
      <c r="CS67" s="105" t="inlineStr">
        <is>
          <t>0,00%</t>
        </is>
      </c>
      <c r="CT67" s="106" t="inlineStr">
        <is>
          <t>18</t>
        </is>
      </c>
      <c r="CU67" s="107" t="inlineStr">
        <is>
          <t>2,10%</t>
        </is>
      </c>
      <c r="CV67" s="108" t="inlineStr">
        <is>
          <t>99</t>
        </is>
      </c>
      <c r="CW67" s="109" t="inlineStr">
        <is>
          <t>1,74x</t>
        </is>
      </c>
      <c r="CX67" s="110" t="inlineStr">
        <is>
          <t>62</t>
        </is>
      </c>
      <c r="CY67" s="111" t="inlineStr">
        <is>
          <t>0,09x</t>
        </is>
      </c>
      <c r="CZ67" s="112" t="inlineStr">
        <is>
          <t>5,24%</t>
        </is>
      </c>
      <c r="DA67" s="113" t="inlineStr">
        <is>
          <t>2,13x</t>
        </is>
      </c>
      <c r="DB67" s="114" t="inlineStr">
        <is>
          <t>68</t>
        </is>
      </c>
      <c r="DC67" s="115" t="inlineStr">
        <is>
          <t>1,34x</t>
        </is>
      </c>
      <c r="DD67" s="116" t="inlineStr">
        <is>
          <t>54</t>
        </is>
      </c>
      <c r="DE67" s="117" t="inlineStr">
        <is>
          <t>0,08x</t>
        </is>
      </c>
      <c r="DF67" s="118" t="inlineStr">
        <is>
          <t>3</t>
        </is>
      </c>
      <c r="DG67" s="119" t="inlineStr">
        <is>
          <t>4,19x</t>
        </is>
      </c>
      <c r="DH67" s="120" t="inlineStr">
        <is>
          <t>77</t>
        </is>
      </c>
      <c r="DI67" s="121" t="inlineStr">
        <is>
          <t>0,06x</t>
        </is>
      </c>
      <c r="DJ67" s="122" t="inlineStr">
        <is>
          <t>9</t>
        </is>
      </c>
      <c r="DK67" s="123" t="inlineStr">
        <is>
          <t>2,61x</t>
        </is>
      </c>
      <c r="DL67" s="124" t="inlineStr">
        <is>
          <t>68</t>
        </is>
      </c>
      <c r="DM67" s="125" t="inlineStr">
        <is>
          <t>30</t>
        </is>
      </c>
      <c r="DN67" s="126" t="inlineStr">
        <is>
          <t>-9</t>
        </is>
      </c>
      <c r="DO67" s="127" t="inlineStr">
        <is>
          <t>-23,08%</t>
        </is>
      </c>
      <c r="DP67" s="128" t="inlineStr">
        <is>
          <t>45</t>
        </is>
      </c>
      <c r="DQ67" s="129" t="inlineStr">
        <is>
          <t>5</t>
        </is>
      </c>
      <c r="DR67" s="130" t="inlineStr">
        <is>
          <t>12,50%</t>
        </is>
      </c>
      <c r="DS67" s="131" t="inlineStr">
        <is>
          <t>145</t>
        </is>
      </c>
      <c r="DT67" s="132" t="inlineStr">
        <is>
          <t>9</t>
        </is>
      </c>
      <c r="DU67" s="133" t="inlineStr">
        <is>
          <t>6,62%</t>
        </is>
      </c>
      <c r="DV67" s="134" t="inlineStr">
        <is>
          <t>977</t>
        </is>
      </c>
      <c r="DW67" s="135" t="inlineStr">
        <is>
          <t>30</t>
        </is>
      </c>
      <c r="DX67" s="136" t="inlineStr">
        <is>
          <t>3,17%</t>
        </is>
      </c>
      <c r="DY67" s="137" t="inlineStr">
        <is>
          <t>PitchBook Research</t>
        </is>
      </c>
      <c r="DZ67" s="785">
        <f>HYPERLINK("https://my.pitchbook.com?c=180147-97", "View company online")</f>
      </c>
    </row>
    <row r="68">
      <c r="A68" s="139" t="inlineStr">
        <is>
          <t>172672-75</t>
        </is>
      </c>
      <c r="B68" s="140" t="inlineStr">
        <is>
          <t>Crosser</t>
        </is>
      </c>
      <c r="C68" s="141" t="inlineStr">
        <is>
          <t/>
        </is>
      </c>
      <c r="D68" s="142" t="inlineStr">
        <is>
          <t/>
        </is>
      </c>
      <c r="E68" s="143" t="inlineStr">
        <is>
          <t>172672-75</t>
        </is>
      </c>
      <c r="F68" s="144" t="inlineStr">
        <is>
          <t>Provider of a fog computing software intended to provide pure-play realtime software for fog computing architecture. The company's fog computing software provides real-time analytic and decision making capabilities similar to IoT sensors and devices, enabling enterprises in the healthcare, industrial IoT and smart building industries to reduce cloud services and bandwidth costs.</t>
        </is>
      </c>
      <c r="G68" s="145" t="inlineStr">
        <is>
          <t>Information Technology</t>
        </is>
      </c>
      <c r="H68" s="146" t="inlineStr">
        <is>
          <t>Software</t>
        </is>
      </c>
      <c r="I68" s="147" t="inlineStr">
        <is>
          <t>Network Management Software</t>
        </is>
      </c>
      <c r="J68" s="148" t="inlineStr">
        <is>
          <t>Network Management Software*; Business/Productivity Software</t>
        </is>
      </c>
      <c r="K68" s="149" t="inlineStr">
        <is>
          <t>Big Data, Internet of Things, SaaS</t>
        </is>
      </c>
      <c r="L68" s="150" t="inlineStr">
        <is>
          <t>Venture Capital-Backed</t>
        </is>
      </c>
      <c r="M68" s="151" t="n">
        <v>1.4</v>
      </c>
      <c r="N68" s="152" t="inlineStr">
        <is>
          <t>Generating Revenue</t>
        </is>
      </c>
      <c r="O68" s="153" t="inlineStr">
        <is>
          <t>Privately Held (backing)</t>
        </is>
      </c>
      <c r="P68" s="154" t="inlineStr">
        <is>
          <t>Venture Capital</t>
        </is>
      </c>
      <c r="Q68" s="155" t="inlineStr">
        <is>
          <t>www.crossertech.com</t>
        </is>
      </c>
      <c r="R68" s="156" t="inlineStr">
        <is>
          <t/>
        </is>
      </c>
      <c r="S68" s="157" t="inlineStr">
        <is>
          <t/>
        </is>
      </c>
      <c r="T68" s="158" t="inlineStr">
        <is>
          <t/>
        </is>
      </c>
      <c r="U68" s="159" t="n">
        <v>2016.0</v>
      </c>
      <c r="V68" s="160" t="inlineStr">
        <is>
          <t/>
        </is>
      </c>
      <c r="W68" s="161" t="inlineStr">
        <is>
          <t/>
        </is>
      </c>
      <c r="X68" s="162" t="inlineStr">
        <is>
          <t/>
        </is>
      </c>
      <c r="Y68" s="163" t="inlineStr">
        <is>
          <t/>
        </is>
      </c>
      <c r="Z68" s="164" t="inlineStr">
        <is>
          <t/>
        </is>
      </c>
      <c r="AA68" s="165" t="inlineStr">
        <is>
          <t/>
        </is>
      </c>
      <c r="AB68" s="166" t="inlineStr">
        <is>
          <t/>
        </is>
      </c>
      <c r="AC68" s="167" t="inlineStr">
        <is>
          <t/>
        </is>
      </c>
      <c r="AD68" s="168" t="inlineStr">
        <is>
          <t/>
        </is>
      </c>
      <c r="AE68" s="169" t="inlineStr">
        <is>
          <t>161466-67P</t>
        </is>
      </c>
      <c r="AF68" s="170" t="inlineStr">
        <is>
          <t>Uffe Bjorklund</t>
        </is>
      </c>
      <c r="AG68" s="171" t="inlineStr">
        <is>
          <t>Co-Founder, Chief Technology Officer &amp; Head of Research and Development</t>
        </is>
      </c>
      <c r="AH68" s="172" t="inlineStr">
        <is>
          <t/>
        </is>
      </c>
      <c r="AI68" s="173" t="inlineStr">
        <is>
          <t/>
        </is>
      </c>
      <c r="AJ68" s="174" t="inlineStr">
        <is>
          <t>Stockholm, Sweden</t>
        </is>
      </c>
      <c r="AK68" s="175" t="inlineStr">
        <is>
          <t/>
        </is>
      </c>
      <c r="AL68" s="176" t="inlineStr">
        <is>
          <t/>
        </is>
      </c>
      <c r="AM68" s="177" t="inlineStr">
        <is>
          <t>Stockholm</t>
        </is>
      </c>
      <c r="AN68" s="178" t="inlineStr">
        <is>
          <t/>
        </is>
      </c>
      <c r="AO68" s="179" t="inlineStr">
        <is>
          <t/>
        </is>
      </c>
      <c r="AP68" s="180" t="inlineStr">
        <is>
          <t>Sweden</t>
        </is>
      </c>
      <c r="AQ68" s="181" t="inlineStr">
        <is>
          <t/>
        </is>
      </c>
      <c r="AR68" s="182" t="inlineStr">
        <is>
          <t/>
        </is>
      </c>
      <c r="AS68" s="183" t="inlineStr">
        <is>
          <t>info@crossertech.com</t>
        </is>
      </c>
      <c r="AT68" s="184" t="inlineStr">
        <is>
          <t>Europe</t>
        </is>
      </c>
      <c r="AU68" s="185" t="inlineStr">
        <is>
          <t>Northern Europe</t>
        </is>
      </c>
      <c r="AV68" s="186" t="inlineStr">
        <is>
          <t>The company raised EUR 1.4 million of seed funding in a deal led by Spintop Ventures on October 9, 2017. Almi Invest and Norrlandsfonden also participated in the round. The funds will be used to launch the company's Intelligent Edge Computing software for Industrial IoT as well as to expand the team and to invest in sales and marketing.</t>
        </is>
      </c>
      <c r="AW68" s="187" t="inlineStr">
        <is>
          <t>Almi Invest, Bizmaker, Norrlandsfonden, Spintop Ventures</t>
        </is>
      </c>
      <c r="AX68" s="188" t="n">
        <v>4.0</v>
      </c>
      <c r="AY68" s="189" t="inlineStr">
        <is>
          <t/>
        </is>
      </c>
      <c r="AZ68" s="190" t="inlineStr">
        <is>
          <t/>
        </is>
      </c>
      <c r="BA68" s="191" t="inlineStr">
        <is>
          <t/>
        </is>
      </c>
      <c r="BB68" s="192" t="inlineStr">
        <is>
          <t>Bizmaker (www.bizmaker.se), Norrlandsfonden (www.norrlandsfonden.se), Spintop Ventures (www.spintopventures.com)</t>
        </is>
      </c>
      <c r="BC68" s="193" t="inlineStr">
        <is>
          <t/>
        </is>
      </c>
      <c r="BD68" s="194" t="inlineStr">
        <is>
          <t/>
        </is>
      </c>
      <c r="BE68" s="195" t="inlineStr">
        <is>
          <t/>
        </is>
      </c>
      <c r="BF68" s="196" t="inlineStr">
        <is>
          <t/>
        </is>
      </c>
      <c r="BG68" s="197" t="inlineStr">
        <is>
          <t/>
        </is>
      </c>
      <c r="BH68" s="198" t="inlineStr">
        <is>
          <t/>
        </is>
      </c>
      <c r="BI68" s="199" t="inlineStr">
        <is>
          <t/>
        </is>
      </c>
      <c r="BJ68" s="200" t="inlineStr">
        <is>
          <t/>
        </is>
      </c>
      <c r="BK68" s="201" t="inlineStr">
        <is>
          <t/>
        </is>
      </c>
      <c r="BL68" s="202" t="inlineStr">
        <is>
          <t>Accelerator/Incubator</t>
        </is>
      </c>
      <c r="BM68" s="203" t="inlineStr">
        <is>
          <t/>
        </is>
      </c>
      <c r="BN68" s="204" t="inlineStr">
        <is>
          <t/>
        </is>
      </c>
      <c r="BO68" s="205" t="inlineStr">
        <is>
          <t>Other</t>
        </is>
      </c>
      <c r="BP68" s="206" t="inlineStr">
        <is>
          <t/>
        </is>
      </c>
      <c r="BQ68" s="207" t="inlineStr">
        <is>
          <t/>
        </is>
      </c>
      <c r="BR68" s="208" t="inlineStr">
        <is>
          <t/>
        </is>
      </c>
      <c r="BS68" s="209" t="inlineStr">
        <is>
          <t>Completed</t>
        </is>
      </c>
      <c r="BT68" s="210" t="n">
        <v>43017.0</v>
      </c>
      <c r="BU68" s="211" t="n">
        <v>1.4</v>
      </c>
      <c r="BV68" s="212" t="inlineStr">
        <is>
          <t>Actual</t>
        </is>
      </c>
      <c r="BW68" s="213" t="inlineStr">
        <is>
          <t/>
        </is>
      </c>
      <c r="BX68" s="214" t="inlineStr">
        <is>
          <t/>
        </is>
      </c>
      <c r="BY68" s="215" t="inlineStr">
        <is>
          <t>Seed Round</t>
        </is>
      </c>
      <c r="BZ68" s="216" t="inlineStr">
        <is>
          <t>Seed</t>
        </is>
      </c>
      <c r="CA68" s="217" t="inlineStr">
        <is>
          <t/>
        </is>
      </c>
      <c r="CB68" s="218" t="inlineStr">
        <is>
          <t>Venture Capital</t>
        </is>
      </c>
      <c r="CC68" s="219" t="inlineStr">
        <is>
          <t/>
        </is>
      </c>
      <c r="CD68" s="220" t="inlineStr">
        <is>
          <t/>
        </is>
      </c>
      <c r="CE68" s="221" t="inlineStr">
        <is>
          <t/>
        </is>
      </c>
      <c r="CF68" s="222" t="inlineStr">
        <is>
          <t>Completed</t>
        </is>
      </c>
      <c r="CG68" s="223" t="inlineStr">
        <is>
          <t>2,25%</t>
        </is>
      </c>
      <c r="CH68" s="224" t="inlineStr">
        <is>
          <t>98</t>
        </is>
      </c>
      <c r="CI68" s="225" t="inlineStr">
        <is>
          <t>-0,49%</t>
        </is>
      </c>
      <c r="CJ68" s="226" t="inlineStr">
        <is>
          <t>-17,93%</t>
        </is>
      </c>
      <c r="CK68" s="227" t="inlineStr">
        <is>
          <t>0,00%</t>
        </is>
      </c>
      <c r="CL68" s="228" t="inlineStr">
        <is>
          <t>28</t>
        </is>
      </c>
      <c r="CM68" s="229" t="inlineStr">
        <is>
          <t>4,50%</t>
        </is>
      </c>
      <c r="CN68" s="230" t="inlineStr">
        <is>
          <t>100</t>
        </is>
      </c>
      <c r="CO68" s="231" t="inlineStr">
        <is>
          <t>0,00%</t>
        </is>
      </c>
      <c r="CP68" s="232" t="inlineStr">
        <is>
          <t>37</t>
        </is>
      </c>
      <c r="CQ68" s="233" t="inlineStr">
        <is>
          <t>0,00%</t>
        </is>
      </c>
      <c r="CR68" s="234" t="inlineStr">
        <is>
          <t>20</t>
        </is>
      </c>
      <c r="CS68" s="235" t="inlineStr">
        <is>
          <t/>
        </is>
      </c>
      <c r="CT68" s="236" t="inlineStr">
        <is>
          <t/>
        </is>
      </c>
      <c r="CU68" s="237" t="inlineStr">
        <is>
          <t>4,50%</t>
        </is>
      </c>
      <c r="CV68" s="238" t="inlineStr">
        <is>
          <t>100</t>
        </is>
      </c>
      <c r="CW68" s="239" t="inlineStr">
        <is>
          <t>1,38x</t>
        </is>
      </c>
      <c r="CX68" s="240" t="inlineStr">
        <is>
          <t>57</t>
        </is>
      </c>
      <c r="CY68" s="241" t="inlineStr">
        <is>
          <t>-0,01x</t>
        </is>
      </c>
      <c r="CZ68" s="242" t="inlineStr">
        <is>
          <t>-0,90%</t>
        </is>
      </c>
      <c r="DA68" s="243" t="inlineStr">
        <is>
          <t>0,42x</t>
        </is>
      </c>
      <c r="DB68" s="244" t="inlineStr">
        <is>
          <t>30</t>
        </is>
      </c>
      <c r="DC68" s="245" t="inlineStr">
        <is>
          <t>2,34x</t>
        </is>
      </c>
      <c r="DD68" s="246" t="inlineStr">
        <is>
          <t>65</t>
        </is>
      </c>
      <c r="DE68" s="247" t="inlineStr">
        <is>
          <t>0,42x</t>
        </is>
      </c>
      <c r="DF68" s="248" t="inlineStr">
        <is>
          <t>29</t>
        </is>
      </c>
      <c r="DG68" s="249" t="inlineStr">
        <is>
          <t>0,42x</t>
        </is>
      </c>
      <c r="DH68" s="250" t="inlineStr">
        <is>
          <t>32</t>
        </is>
      </c>
      <c r="DI68" s="251" t="inlineStr">
        <is>
          <t/>
        </is>
      </c>
      <c r="DJ68" s="252" t="inlineStr">
        <is>
          <t/>
        </is>
      </c>
      <c r="DK68" s="253" t="inlineStr">
        <is>
          <t>2,34x</t>
        </is>
      </c>
      <c r="DL68" s="254" t="inlineStr">
        <is>
          <t>67</t>
        </is>
      </c>
      <c r="DM68" s="255" t="inlineStr">
        <is>
          <t>151</t>
        </is>
      </c>
      <c r="DN68" s="256" t="inlineStr">
        <is>
          <t>9</t>
        </is>
      </c>
      <c r="DO68" s="257" t="inlineStr">
        <is>
          <t>6,34%</t>
        </is>
      </c>
      <c r="DP68" s="258" t="inlineStr">
        <is>
          <t/>
        </is>
      </c>
      <c r="DQ68" s="259" t="inlineStr">
        <is>
          <t/>
        </is>
      </c>
      <c r="DR68" s="260" t="inlineStr">
        <is>
          <t/>
        </is>
      </c>
      <c r="DS68" s="261" t="inlineStr">
        <is>
          <t>14</t>
        </is>
      </c>
      <c r="DT68" s="262" t="inlineStr">
        <is>
          <t>1</t>
        </is>
      </c>
      <c r="DU68" s="263" t="inlineStr">
        <is>
          <t>7,69%</t>
        </is>
      </c>
      <c r="DV68" s="264" t="inlineStr">
        <is>
          <t>875</t>
        </is>
      </c>
      <c r="DW68" s="265" t="inlineStr">
        <is>
          <t>10</t>
        </is>
      </c>
      <c r="DX68" s="266" t="inlineStr">
        <is>
          <t>1,16%</t>
        </is>
      </c>
      <c r="DY68" s="267" t="inlineStr">
        <is>
          <t>PitchBook Research</t>
        </is>
      </c>
      <c r="DZ68" s="786">
        <f>HYPERLINK("https://my.pitchbook.com?c=172672-75", "View company online")</f>
      </c>
    </row>
    <row r="69">
      <c r="A69" s="9" t="inlineStr">
        <is>
          <t>100158-94</t>
        </is>
      </c>
      <c r="B69" s="10" t="inlineStr">
        <is>
          <t>Morressier</t>
        </is>
      </c>
      <c r="C69" s="11" t="inlineStr">
        <is>
          <t>Zehndetails</t>
        </is>
      </c>
      <c r="D69" s="12" t="inlineStr">
        <is>
          <t/>
        </is>
      </c>
      <c r="E69" s="13" t="inlineStr">
        <is>
          <t>100158-94</t>
        </is>
      </c>
      <c r="F69" s="14" t="inlineStr">
        <is>
          <t>Provider of a digital platform and publishing outlet intended to manage, display, discover and analyze digital content. The company's digital platform and publishing outlet is used for the creation of digital content for conferences, congresses, fairs and their organizers, enabling users to create aesthetically beautiful, intuitively designed and clear-cut functional digital contents.</t>
        </is>
      </c>
      <c r="G69" s="15" t="inlineStr">
        <is>
          <t>Consumer Products and Services (B2C)</t>
        </is>
      </c>
      <c r="H69" s="16" t="inlineStr">
        <is>
          <t>Media</t>
        </is>
      </c>
      <c r="I69" s="17" t="inlineStr">
        <is>
          <t>Publishing</t>
        </is>
      </c>
      <c r="J69" s="18" t="inlineStr">
        <is>
          <t>Publishing*; Other Software; Business/Productivity Software</t>
        </is>
      </c>
      <c r="K69" s="19" t="inlineStr">
        <is>
          <t>SaaS</t>
        </is>
      </c>
      <c r="L69" s="20" t="inlineStr">
        <is>
          <t>Venture Capital-Backed</t>
        </is>
      </c>
      <c r="M69" s="21" t="n">
        <v>1.45</v>
      </c>
      <c r="N69" s="22" t="inlineStr">
        <is>
          <t>Generating Revenue</t>
        </is>
      </c>
      <c r="O69" s="23" t="inlineStr">
        <is>
          <t>Privately Held (backing)</t>
        </is>
      </c>
      <c r="P69" s="24" t="inlineStr">
        <is>
          <t>Venture Capital</t>
        </is>
      </c>
      <c r="Q69" s="25" t="inlineStr">
        <is>
          <t>www.morressier.com</t>
        </is>
      </c>
      <c r="R69" s="26" t="n">
        <v>2.0</v>
      </c>
      <c r="S69" s="27" t="inlineStr">
        <is>
          <t/>
        </is>
      </c>
      <c r="T69" s="28" t="inlineStr">
        <is>
          <t/>
        </is>
      </c>
      <c r="U69" s="29" t="n">
        <v>2014.0</v>
      </c>
      <c r="V69" s="30" t="inlineStr">
        <is>
          <t/>
        </is>
      </c>
      <c r="W69" s="31" t="inlineStr">
        <is>
          <t/>
        </is>
      </c>
      <c r="X69" s="32" t="inlineStr">
        <is>
          <t/>
        </is>
      </c>
      <c r="Y69" s="33" t="inlineStr">
        <is>
          <t/>
        </is>
      </c>
      <c r="Z69" s="34" t="inlineStr">
        <is>
          <t/>
        </is>
      </c>
      <c r="AA69" s="35" t="inlineStr">
        <is>
          <t/>
        </is>
      </c>
      <c r="AB69" s="36" t="inlineStr">
        <is>
          <t/>
        </is>
      </c>
      <c r="AC69" s="37" t="inlineStr">
        <is>
          <t/>
        </is>
      </c>
      <c r="AD69" s="38" t="inlineStr">
        <is>
          <t/>
        </is>
      </c>
      <c r="AE69" s="39" t="inlineStr">
        <is>
          <t>89789-59P</t>
        </is>
      </c>
      <c r="AF69" s="40" t="inlineStr">
        <is>
          <t>Sami Benchekroun</t>
        </is>
      </c>
      <c r="AG69" s="41" t="inlineStr">
        <is>
          <t>Co-Founder, Chief Executive Officer &amp; Managing Director</t>
        </is>
      </c>
      <c r="AH69" s="42" t="inlineStr">
        <is>
          <t>sami.benchekroun@morressier.com</t>
        </is>
      </c>
      <c r="AI69" s="43" t="inlineStr">
        <is>
          <t/>
        </is>
      </c>
      <c r="AJ69" s="44" t="inlineStr">
        <is>
          <t>Berlin, Germany</t>
        </is>
      </c>
      <c r="AK69" s="45" t="inlineStr">
        <is>
          <t>Zossener Straße 55-58</t>
        </is>
      </c>
      <c r="AL69" s="46" t="inlineStr">
        <is>
          <t/>
        </is>
      </c>
      <c r="AM69" s="47" t="inlineStr">
        <is>
          <t>Berlin</t>
        </is>
      </c>
      <c r="AN69" s="48" t="inlineStr">
        <is>
          <t/>
        </is>
      </c>
      <c r="AO69" s="49" t="inlineStr">
        <is>
          <t>10961</t>
        </is>
      </c>
      <c r="AP69" s="50" t="inlineStr">
        <is>
          <t>Germany</t>
        </is>
      </c>
      <c r="AQ69" s="51" t="inlineStr">
        <is>
          <t/>
        </is>
      </c>
      <c r="AR69" s="52" t="inlineStr">
        <is>
          <t/>
        </is>
      </c>
      <c r="AS69" s="53" t="inlineStr">
        <is>
          <t>hello@morressier.com</t>
        </is>
      </c>
      <c r="AT69" s="54" t="inlineStr">
        <is>
          <t>Europe</t>
        </is>
      </c>
      <c r="AU69" s="55" t="inlineStr">
        <is>
          <t>Western Europe</t>
        </is>
      </c>
      <c r="AV69" s="56" t="inlineStr">
        <is>
          <t>The company raised $1.7 million of seed funding in a deal led by Redalpine Venture Partners on November 15, 2017. Jan Reichelt, MK Venture Capital and Jan Maier also participated in the round. The company will use the funds to develop new features, including an abstract management system and to hire engineering talent.</t>
        </is>
      </c>
      <c r="AW69" s="57" t="inlineStr">
        <is>
          <t>Go:Incubator, Jan Maier, Jan Reichelt, MK Venture Capital, Redalpine Venture Partners</t>
        </is>
      </c>
      <c r="AX69" s="58" t="n">
        <v>5.0</v>
      </c>
      <c r="AY69" s="59" t="inlineStr">
        <is>
          <t/>
        </is>
      </c>
      <c r="AZ69" s="60" t="inlineStr">
        <is>
          <t/>
        </is>
      </c>
      <c r="BA69" s="61" t="inlineStr">
        <is>
          <t/>
        </is>
      </c>
      <c r="BB69" s="62" t="inlineStr">
        <is>
          <t>Go:Incubator (www.goincubator.de), MK Venture Capital (www.mk-vc.com), Redalpine Venture Partners (www.redalpine.com)</t>
        </is>
      </c>
      <c r="BC69" s="63" t="inlineStr">
        <is>
          <t/>
        </is>
      </c>
      <c r="BD69" s="64" t="inlineStr">
        <is>
          <t/>
        </is>
      </c>
      <c r="BE69" s="65" t="inlineStr">
        <is>
          <t/>
        </is>
      </c>
      <c r="BF69" s="66" t="inlineStr">
        <is>
          <t/>
        </is>
      </c>
      <c r="BG69" s="67" t="inlineStr">
        <is>
          <t/>
        </is>
      </c>
      <c r="BH69" s="68" t="inlineStr">
        <is>
          <t/>
        </is>
      </c>
      <c r="BI69" s="69" t="inlineStr">
        <is>
          <t/>
        </is>
      </c>
      <c r="BJ69" s="70" t="inlineStr">
        <is>
          <t/>
        </is>
      </c>
      <c r="BK69" s="71" t="inlineStr">
        <is>
          <t/>
        </is>
      </c>
      <c r="BL69" s="72" t="inlineStr">
        <is>
          <t>Accelerator/Incubator</t>
        </is>
      </c>
      <c r="BM69" s="73" t="inlineStr">
        <is>
          <t/>
        </is>
      </c>
      <c r="BN69" s="74" t="inlineStr">
        <is>
          <t/>
        </is>
      </c>
      <c r="BO69" s="75" t="inlineStr">
        <is>
          <t>Other</t>
        </is>
      </c>
      <c r="BP69" s="76" t="inlineStr">
        <is>
          <t/>
        </is>
      </c>
      <c r="BQ69" s="77" t="inlineStr">
        <is>
          <t/>
        </is>
      </c>
      <c r="BR69" s="78" t="inlineStr">
        <is>
          <t/>
        </is>
      </c>
      <c r="BS69" s="79" t="inlineStr">
        <is>
          <t>Completed</t>
        </is>
      </c>
      <c r="BT69" s="80" t="n">
        <v>43054.0</v>
      </c>
      <c r="BU69" s="81" t="n">
        <v>1.45</v>
      </c>
      <c r="BV69" s="82" t="inlineStr">
        <is>
          <t>Actual</t>
        </is>
      </c>
      <c r="BW69" s="83" t="inlineStr">
        <is>
          <t/>
        </is>
      </c>
      <c r="BX69" s="84" t="inlineStr">
        <is>
          <t/>
        </is>
      </c>
      <c r="BY69" s="85" t="inlineStr">
        <is>
          <t>Seed Round</t>
        </is>
      </c>
      <c r="BZ69" s="86" t="inlineStr">
        <is>
          <t>Seed</t>
        </is>
      </c>
      <c r="CA69" s="87" t="inlineStr">
        <is>
          <t/>
        </is>
      </c>
      <c r="CB69" s="88" t="inlineStr">
        <is>
          <t>Venture Capital</t>
        </is>
      </c>
      <c r="CC69" s="89" t="inlineStr">
        <is>
          <t/>
        </is>
      </c>
      <c r="CD69" s="90" t="inlineStr">
        <is>
          <t/>
        </is>
      </c>
      <c r="CE69" s="91" t="inlineStr">
        <is>
          <t/>
        </is>
      </c>
      <c r="CF69" s="92" t="inlineStr">
        <is>
          <t>Completed</t>
        </is>
      </c>
      <c r="CG69" s="93" t="inlineStr">
        <is>
          <t/>
        </is>
      </c>
      <c r="CH69" s="94" t="inlineStr">
        <is>
          <t/>
        </is>
      </c>
      <c r="CI69" s="95" t="inlineStr">
        <is>
          <t/>
        </is>
      </c>
      <c r="CJ69" s="96" t="inlineStr">
        <is>
          <t/>
        </is>
      </c>
      <c r="CK69" s="97" t="inlineStr">
        <is>
          <t/>
        </is>
      </c>
      <c r="CL69" s="98" t="inlineStr">
        <is>
          <t/>
        </is>
      </c>
      <c r="CM69" s="99" t="inlineStr">
        <is>
          <t/>
        </is>
      </c>
      <c r="CN69" s="100" t="inlineStr">
        <is>
          <t/>
        </is>
      </c>
      <c r="CO69" s="101" t="inlineStr">
        <is>
          <t/>
        </is>
      </c>
      <c r="CP69" s="102" t="inlineStr">
        <is>
          <t/>
        </is>
      </c>
      <c r="CQ69" s="103" t="inlineStr">
        <is>
          <t/>
        </is>
      </c>
      <c r="CR69" s="104" t="inlineStr">
        <is>
          <t/>
        </is>
      </c>
      <c r="CS69" s="105" t="inlineStr">
        <is>
          <t/>
        </is>
      </c>
      <c r="CT69" s="106" t="inlineStr">
        <is>
          <t/>
        </is>
      </c>
      <c r="CU69" s="107" t="inlineStr">
        <is>
          <t/>
        </is>
      </c>
      <c r="CV69" s="108" t="inlineStr">
        <is>
          <t/>
        </is>
      </c>
      <c r="CW69" s="109" t="inlineStr">
        <is>
          <t/>
        </is>
      </c>
      <c r="CX69" s="110" t="inlineStr">
        <is>
          <t/>
        </is>
      </c>
      <c r="CY69" s="111" t="inlineStr">
        <is>
          <t/>
        </is>
      </c>
      <c r="CZ69" s="112" t="inlineStr">
        <is>
          <t/>
        </is>
      </c>
      <c r="DA69" s="113" t="inlineStr">
        <is>
          <t/>
        </is>
      </c>
      <c r="DB69" s="114" t="inlineStr">
        <is>
          <t/>
        </is>
      </c>
      <c r="DC69" s="115" t="inlineStr">
        <is>
          <t/>
        </is>
      </c>
      <c r="DD69" s="116" t="inlineStr">
        <is>
          <t/>
        </is>
      </c>
      <c r="DE69" s="117" t="inlineStr">
        <is>
          <t/>
        </is>
      </c>
      <c r="DF69" s="118" t="inlineStr">
        <is>
          <t/>
        </is>
      </c>
      <c r="DG69" s="119" t="inlineStr">
        <is>
          <t/>
        </is>
      </c>
      <c r="DH69" s="120" t="inlineStr">
        <is>
          <t/>
        </is>
      </c>
      <c r="DI69" s="121" t="inlineStr">
        <is>
          <t/>
        </is>
      </c>
      <c r="DJ69" s="122" t="inlineStr">
        <is>
          <t/>
        </is>
      </c>
      <c r="DK69" s="123" t="inlineStr">
        <is>
          <t/>
        </is>
      </c>
      <c r="DL69" s="124" t="inlineStr">
        <is>
          <t/>
        </is>
      </c>
      <c r="DM69" s="125" t="inlineStr">
        <is>
          <t/>
        </is>
      </c>
      <c r="DN69" s="126" t="inlineStr">
        <is>
          <t/>
        </is>
      </c>
      <c r="DO69" s="127" t="inlineStr">
        <is>
          <t/>
        </is>
      </c>
      <c r="DP69" s="128" t="inlineStr">
        <is>
          <t/>
        </is>
      </c>
      <c r="DQ69" s="129" t="inlineStr">
        <is>
          <t/>
        </is>
      </c>
      <c r="DR69" s="130" t="inlineStr">
        <is>
          <t/>
        </is>
      </c>
      <c r="DS69" s="131" t="inlineStr">
        <is>
          <t/>
        </is>
      </c>
      <c r="DT69" s="132" t="inlineStr">
        <is>
          <t/>
        </is>
      </c>
      <c r="DU69" s="133" t="inlineStr">
        <is>
          <t/>
        </is>
      </c>
      <c r="DV69" s="134" t="inlineStr">
        <is>
          <t/>
        </is>
      </c>
      <c r="DW69" s="135" t="inlineStr">
        <is>
          <t/>
        </is>
      </c>
      <c r="DX69" s="136" t="inlineStr">
        <is>
          <t/>
        </is>
      </c>
      <c r="DY69" s="137" t="inlineStr">
        <is>
          <t>PitchBook Research</t>
        </is>
      </c>
      <c r="DZ69" s="785">
        <f>HYPERLINK("https://my.pitchbook.com?c=100158-94", "View company online")</f>
      </c>
    </row>
    <row r="70">
      <c r="A70" s="139" t="inlineStr">
        <is>
          <t>98704-18</t>
        </is>
      </c>
      <c r="B70" s="140" t="inlineStr">
        <is>
          <t>Gecko Labs</t>
        </is>
      </c>
      <c r="C70" s="141" t="inlineStr">
        <is>
          <t>Inquirely</t>
        </is>
      </c>
      <c r="D70" s="142" t="inlineStr">
        <is>
          <t/>
        </is>
      </c>
      <c r="E70" s="143" t="inlineStr">
        <is>
          <t>98704-18</t>
        </is>
      </c>
      <c r="F70" s="144" t="inlineStr">
        <is>
          <t>Developer of a cloud-based student engagement platform designed to resolve recruitment and marketing efforts. The company's student engagement platform captures, converts and measures recruitment and marketing data both online and offline, enabling educational institutions to manage and improve their recruitment processes.</t>
        </is>
      </c>
      <c r="G70" s="145" t="inlineStr">
        <is>
          <t>Information Technology</t>
        </is>
      </c>
      <c r="H70" s="146" t="inlineStr">
        <is>
          <t>Software</t>
        </is>
      </c>
      <c r="I70" s="147" t="inlineStr">
        <is>
          <t>Application Software</t>
        </is>
      </c>
      <c r="J70" s="148" t="inlineStr">
        <is>
          <t>Application Software*</t>
        </is>
      </c>
      <c r="K70" s="149" t="inlineStr">
        <is>
          <t>SaaS</t>
        </is>
      </c>
      <c r="L70" s="150" t="inlineStr">
        <is>
          <t>Venture Capital-Backed</t>
        </is>
      </c>
      <c r="M70" s="151" t="n">
        <v>1.46</v>
      </c>
      <c r="N70" s="152" t="inlineStr">
        <is>
          <t>Generating Revenue</t>
        </is>
      </c>
      <c r="O70" s="153" t="inlineStr">
        <is>
          <t>Privately Held (backing)</t>
        </is>
      </c>
      <c r="P70" s="154" t="inlineStr">
        <is>
          <t>Venture Capital</t>
        </is>
      </c>
      <c r="Q70" s="155" t="inlineStr">
        <is>
          <t>www.geckolabs.co.uk</t>
        </is>
      </c>
      <c r="R70" s="156" t="n">
        <v>20.0</v>
      </c>
      <c r="S70" s="157" t="inlineStr">
        <is>
          <t/>
        </is>
      </c>
      <c r="T70" s="158" t="inlineStr">
        <is>
          <t/>
        </is>
      </c>
      <c r="U70" s="159" t="n">
        <v>2012.0</v>
      </c>
      <c r="V70" s="160" t="inlineStr">
        <is>
          <t/>
        </is>
      </c>
      <c r="W70" s="161" t="inlineStr">
        <is>
          <t/>
        </is>
      </c>
      <c r="X70" s="162" t="inlineStr">
        <is>
          <t/>
        </is>
      </c>
      <c r="Y70" s="163" t="inlineStr">
        <is>
          <t/>
        </is>
      </c>
      <c r="Z70" s="164" t="inlineStr">
        <is>
          <t/>
        </is>
      </c>
      <c r="AA70" s="165" t="inlineStr">
        <is>
          <t/>
        </is>
      </c>
      <c r="AB70" s="166" t="inlineStr">
        <is>
          <t/>
        </is>
      </c>
      <c r="AC70" s="167" t="inlineStr">
        <is>
          <t/>
        </is>
      </c>
      <c r="AD70" s="168" t="inlineStr">
        <is>
          <t/>
        </is>
      </c>
      <c r="AE70" s="169" t="inlineStr">
        <is>
          <t>82705-69P</t>
        </is>
      </c>
      <c r="AF70" s="170" t="inlineStr">
        <is>
          <t>Matthew Lanham</t>
        </is>
      </c>
      <c r="AG70" s="171" t="inlineStr">
        <is>
          <t>Founder, Chief Executive Officer &amp; Board Member</t>
        </is>
      </c>
      <c r="AH70" s="172" t="inlineStr">
        <is>
          <t>matthew@geckoform.com</t>
        </is>
      </c>
      <c r="AI70" s="173" t="inlineStr">
        <is>
          <t>+44 (0)13 1541 2296</t>
        </is>
      </c>
      <c r="AJ70" s="174" t="inlineStr">
        <is>
          <t>Edinburgh, United Kingdom</t>
        </is>
      </c>
      <c r="AK70" s="175" t="inlineStr">
        <is>
          <t>Bupa House</t>
        </is>
      </c>
      <c r="AL70" s="176" t="inlineStr">
        <is>
          <t>116 Dundas Street</t>
        </is>
      </c>
      <c r="AM70" s="177" t="inlineStr">
        <is>
          <t>Edinburgh</t>
        </is>
      </c>
      <c r="AN70" s="178" t="inlineStr">
        <is>
          <t>Scotland</t>
        </is>
      </c>
      <c r="AO70" s="179" t="inlineStr">
        <is>
          <t>EH3 5DQ</t>
        </is>
      </c>
      <c r="AP70" s="180" t="inlineStr">
        <is>
          <t>United Kingdom</t>
        </is>
      </c>
      <c r="AQ70" s="181" t="inlineStr">
        <is>
          <t>+44 (0)13 1541 2296</t>
        </is>
      </c>
      <c r="AR70" s="182" t="inlineStr">
        <is>
          <t/>
        </is>
      </c>
      <c r="AS70" s="183" t="inlineStr">
        <is>
          <t>info@geckolabs.co.uk</t>
        </is>
      </c>
      <c r="AT70" s="184" t="inlineStr">
        <is>
          <t>Europe</t>
        </is>
      </c>
      <c r="AU70" s="185" t="inlineStr">
        <is>
          <t>Western Europe</t>
        </is>
      </c>
      <c r="AV70" s="186" t="inlineStr">
        <is>
          <t>The company raised GBP 1 million of venture funding in a deal co-led by Andrew Weisz and Tom Singh on September 6, 2017. Other undisclosed existing investors also participated in the round. The company intends to use the funds to create around 10 new positions to support business growth, further develop their new technology to roll out an innovative new live chat system and expand in North America.</t>
        </is>
      </c>
      <c r="AW70" s="187" t="inlineStr">
        <is>
          <t>Andrew Weisz, Beacon Capital, EU &amp; EU Linco, European Union, Funding London, Ignite, IP Group United Kingdom, London Co-Investment Fund, Northstar Ventures</t>
        </is>
      </c>
      <c r="AX70" s="188" t="n">
        <v>9.0</v>
      </c>
      <c r="AY70" s="189" t="inlineStr">
        <is>
          <t/>
        </is>
      </c>
      <c r="AZ70" s="190" t="inlineStr">
        <is>
          <t/>
        </is>
      </c>
      <c r="BA70" s="191" t="inlineStr">
        <is>
          <t/>
        </is>
      </c>
      <c r="BB70" s="192" t="inlineStr">
        <is>
          <t>Beacon Capital (www.beaconcapital.co.uk), EU &amp; EU Linco (www.eu-linco.co.uk), European Union (www.europa.eu), Funding London (www.fundinglondon.co.uk), Ignite (www.ignite.io), IP Group United Kingdom (www.ipgroupplc.com), London Co-Investment Fund (www.lcif.co), Northstar Ventures (www.northstarventures.co.uk)</t>
        </is>
      </c>
      <c r="BC70" s="193" t="inlineStr">
        <is>
          <t/>
        </is>
      </c>
      <c r="BD70" s="194" t="inlineStr">
        <is>
          <t/>
        </is>
      </c>
      <c r="BE70" s="195" t="inlineStr">
        <is>
          <t/>
        </is>
      </c>
      <c r="BF70" s="196" t="inlineStr">
        <is>
          <t/>
        </is>
      </c>
      <c r="BG70" s="197" t="n">
        <v>40909.0</v>
      </c>
      <c r="BH70" s="198" t="inlineStr">
        <is>
          <t/>
        </is>
      </c>
      <c r="BI70" s="199" t="inlineStr">
        <is>
          <t/>
        </is>
      </c>
      <c r="BJ70" s="200" t="inlineStr">
        <is>
          <t/>
        </is>
      </c>
      <c r="BK70" s="201" t="inlineStr">
        <is>
          <t/>
        </is>
      </c>
      <c r="BL70" s="202" t="inlineStr">
        <is>
          <t>Early Stage VC</t>
        </is>
      </c>
      <c r="BM70" s="203" t="inlineStr">
        <is>
          <t/>
        </is>
      </c>
      <c r="BN70" s="204" t="inlineStr">
        <is>
          <t/>
        </is>
      </c>
      <c r="BO70" s="205" t="inlineStr">
        <is>
          <t>Venture Capital</t>
        </is>
      </c>
      <c r="BP70" s="206" t="inlineStr">
        <is>
          <t/>
        </is>
      </c>
      <c r="BQ70" s="207" t="inlineStr">
        <is>
          <t/>
        </is>
      </c>
      <c r="BR70" s="208" t="inlineStr">
        <is>
          <t/>
        </is>
      </c>
      <c r="BS70" s="209" t="inlineStr">
        <is>
          <t>Completed</t>
        </is>
      </c>
      <c r="BT70" s="210" t="n">
        <v>42984.0</v>
      </c>
      <c r="BU70" s="211" t="n">
        <v>1.12</v>
      </c>
      <c r="BV70" s="212" t="inlineStr">
        <is>
          <t>Actual</t>
        </is>
      </c>
      <c r="BW70" s="213" t="inlineStr">
        <is>
          <t/>
        </is>
      </c>
      <c r="BX70" s="214" t="inlineStr">
        <is>
          <t/>
        </is>
      </c>
      <c r="BY70" s="215" t="inlineStr">
        <is>
          <t>Early Stage VC</t>
        </is>
      </c>
      <c r="BZ70" s="216" t="inlineStr">
        <is>
          <t/>
        </is>
      </c>
      <c r="CA70" s="217" t="inlineStr">
        <is>
          <t/>
        </is>
      </c>
      <c r="CB70" s="218" t="inlineStr">
        <is>
          <t>Venture Capital</t>
        </is>
      </c>
      <c r="CC70" s="219" t="inlineStr">
        <is>
          <t/>
        </is>
      </c>
      <c r="CD70" s="220" t="inlineStr">
        <is>
          <t/>
        </is>
      </c>
      <c r="CE70" s="221" t="inlineStr">
        <is>
          <t/>
        </is>
      </c>
      <c r="CF70" s="222" t="inlineStr">
        <is>
          <t>Completed</t>
        </is>
      </c>
      <c r="CG70" s="223" t="inlineStr">
        <is>
          <t>-2,06%</t>
        </is>
      </c>
      <c r="CH70" s="224" t="inlineStr">
        <is>
          <t>9</t>
        </is>
      </c>
      <c r="CI70" s="225" t="inlineStr">
        <is>
          <t>-0,02%</t>
        </is>
      </c>
      <c r="CJ70" s="226" t="inlineStr">
        <is>
          <t>-0,76%</t>
        </is>
      </c>
      <c r="CK70" s="227" t="inlineStr">
        <is>
          <t>0,00%</t>
        </is>
      </c>
      <c r="CL70" s="228" t="inlineStr">
        <is>
          <t>28</t>
        </is>
      </c>
      <c r="CM70" s="229" t="inlineStr">
        <is>
          <t>-6,84%</t>
        </is>
      </c>
      <c r="CN70" s="230" t="inlineStr">
        <is>
          <t>1</t>
        </is>
      </c>
      <c r="CO70" s="231" t="inlineStr">
        <is>
          <t>0,00%</t>
        </is>
      </c>
      <c r="CP70" s="232" t="inlineStr">
        <is>
          <t>37</t>
        </is>
      </c>
      <c r="CQ70" s="233" t="inlineStr">
        <is>
          <t/>
        </is>
      </c>
      <c r="CR70" s="234" t="inlineStr">
        <is>
          <t/>
        </is>
      </c>
      <c r="CS70" s="235" t="inlineStr">
        <is>
          <t>0,00%</t>
        </is>
      </c>
      <c r="CT70" s="236" t="inlineStr">
        <is>
          <t>18</t>
        </is>
      </c>
      <c r="CU70" s="237" t="inlineStr">
        <is>
          <t>-13,69%</t>
        </is>
      </c>
      <c r="CV70" s="238" t="inlineStr">
        <is>
          <t>1</t>
        </is>
      </c>
      <c r="CW70" s="239" t="inlineStr">
        <is>
          <t>0,15x</t>
        </is>
      </c>
      <c r="CX70" s="240" t="inlineStr">
        <is>
          <t>13</t>
        </is>
      </c>
      <c r="CY70" s="241" t="inlineStr">
        <is>
          <t>0,00x</t>
        </is>
      </c>
      <c r="CZ70" s="242" t="inlineStr">
        <is>
          <t>0,06%</t>
        </is>
      </c>
      <c r="DA70" s="243" t="inlineStr">
        <is>
          <t>0,33x</t>
        </is>
      </c>
      <c r="DB70" s="244" t="inlineStr">
        <is>
          <t>26</t>
        </is>
      </c>
      <c r="DC70" s="245" t="inlineStr">
        <is>
          <t>0,05x</t>
        </is>
      </c>
      <c r="DD70" s="246" t="inlineStr">
        <is>
          <t>8</t>
        </is>
      </c>
      <c r="DE70" s="247" t="inlineStr">
        <is>
          <t>0,33x</t>
        </is>
      </c>
      <c r="DF70" s="248" t="inlineStr">
        <is>
          <t>24</t>
        </is>
      </c>
      <c r="DG70" s="249" t="inlineStr">
        <is>
          <t/>
        </is>
      </c>
      <c r="DH70" s="250" t="inlineStr">
        <is>
          <t/>
        </is>
      </c>
      <c r="DI70" s="251" t="inlineStr">
        <is>
          <t>0,10x</t>
        </is>
      </c>
      <c r="DJ70" s="252" t="inlineStr">
        <is>
          <t>14</t>
        </is>
      </c>
      <c r="DK70" s="253" t="inlineStr">
        <is>
          <t>0,00x</t>
        </is>
      </c>
      <c r="DL70" s="254" t="inlineStr">
        <is>
          <t>1</t>
        </is>
      </c>
      <c r="DM70" s="255" t="inlineStr">
        <is>
          <t>121</t>
        </is>
      </c>
      <c r="DN70" s="256" t="inlineStr">
        <is>
          <t>6</t>
        </is>
      </c>
      <c r="DO70" s="257" t="inlineStr">
        <is>
          <t>5,22%</t>
        </is>
      </c>
      <c r="DP70" s="258" t="inlineStr">
        <is>
          <t>76</t>
        </is>
      </c>
      <c r="DQ70" s="259" t="inlineStr">
        <is>
          <t>2</t>
        </is>
      </c>
      <c r="DR70" s="260" t="inlineStr">
        <is>
          <t>2,70%</t>
        </is>
      </c>
      <c r="DS70" s="261" t="inlineStr">
        <is>
          <t/>
        </is>
      </c>
      <c r="DT70" s="262" t="inlineStr">
        <is>
          <t/>
        </is>
      </c>
      <c r="DU70" s="263" t="inlineStr">
        <is>
          <t/>
        </is>
      </c>
      <c r="DV70" s="264" t="inlineStr">
        <is>
          <t>1</t>
        </is>
      </c>
      <c r="DW70" s="265" t="inlineStr">
        <is>
          <t>0</t>
        </is>
      </c>
      <c r="DX70" s="266" t="inlineStr">
        <is>
          <t>0,00%</t>
        </is>
      </c>
      <c r="DY70" s="267" t="inlineStr">
        <is>
          <t>PitchBook Research</t>
        </is>
      </c>
      <c r="DZ70" s="786">
        <f>HYPERLINK("https://my.pitchbook.com?c=98704-18", "View company online")</f>
      </c>
    </row>
    <row r="71">
      <c r="A71" s="9" t="inlineStr">
        <is>
          <t>187723-27</t>
        </is>
      </c>
      <c r="B71" s="10" t="inlineStr">
        <is>
          <t>Agro Signal</t>
        </is>
      </c>
      <c r="C71" s="11" t="inlineStr">
        <is>
          <t/>
        </is>
      </c>
      <c r="D71" s="12" t="inlineStr">
        <is>
          <t/>
        </is>
      </c>
      <c r="E71" s="13" t="inlineStr">
        <is>
          <t>187723-27</t>
        </is>
      </c>
      <c r="F71" s="14" t="inlineStr">
        <is>
          <t>Developer of a SaaS-based accounting and operational control software created for agricultural work. The company's accounting and operational control software offer sensors for calculation of fuel consumption and productivity for a subscription fee for combines and tractors, its interactive map with outlines of all farm fields over any cartographic sources makes it easy to navigate in the field position relative to the objects of the farm or objects on satellite images and a map of the terrain, and with maximum detail, enabling businesses to plan, control, reduce cost and losses, improve profitability and take decisions.</t>
        </is>
      </c>
      <c r="G71" s="15" t="inlineStr">
        <is>
          <t>Information Technology</t>
        </is>
      </c>
      <c r="H71" s="16" t="inlineStr">
        <is>
          <t>Software</t>
        </is>
      </c>
      <c r="I71" s="17" t="inlineStr">
        <is>
          <t>Business/Productivity Software</t>
        </is>
      </c>
      <c r="J71" s="18" t="inlineStr">
        <is>
          <t>Business/Productivity Software*; Financial Software</t>
        </is>
      </c>
      <c r="K71" s="19" t="inlineStr">
        <is>
          <t>AgTech, SaaS</t>
        </is>
      </c>
      <c r="L71" s="20" t="inlineStr">
        <is>
          <t>Venture Capital-Backed</t>
        </is>
      </c>
      <c r="M71" s="21" t="n">
        <v>1.47</v>
      </c>
      <c r="N71" s="22" t="inlineStr">
        <is>
          <t>Generating Revenue</t>
        </is>
      </c>
      <c r="O71" s="23" t="inlineStr">
        <is>
          <t>Privately Held (backing)</t>
        </is>
      </c>
      <c r="P71" s="24" t="inlineStr">
        <is>
          <t>Venture Capital</t>
        </is>
      </c>
      <c r="Q71" s="25" t="inlineStr">
        <is>
          <t>agrosignal.com</t>
        </is>
      </c>
      <c r="R71" s="26" t="inlineStr">
        <is>
          <t/>
        </is>
      </c>
      <c r="S71" s="27" t="inlineStr">
        <is>
          <t/>
        </is>
      </c>
      <c r="T71" s="28" t="inlineStr">
        <is>
          <t/>
        </is>
      </c>
      <c r="U71" s="29" t="n">
        <v>2005.0</v>
      </c>
      <c r="V71" s="30" t="inlineStr">
        <is>
          <t/>
        </is>
      </c>
      <c r="W71" s="31" t="inlineStr">
        <is>
          <t/>
        </is>
      </c>
      <c r="X71" s="32" t="inlineStr">
        <is>
          <t/>
        </is>
      </c>
      <c r="Y71" s="33" t="n">
        <v>0.35098</v>
      </c>
      <c r="Z71" s="34" t="inlineStr">
        <is>
          <t/>
        </is>
      </c>
      <c r="AA71" s="35" t="n">
        <v>0.01897</v>
      </c>
      <c r="AB71" s="36" t="inlineStr">
        <is>
          <t/>
        </is>
      </c>
      <c r="AC71" s="37" t="inlineStr">
        <is>
          <t/>
        </is>
      </c>
      <c r="AD71" s="38" t="inlineStr">
        <is>
          <t>FY 2016</t>
        </is>
      </c>
      <c r="AE71" s="39" t="inlineStr">
        <is>
          <t>172084-78P</t>
        </is>
      </c>
      <c r="AF71" s="40" t="inlineStr">
        <is>
          <t>Vladimir Korshunov</t>
        </is>
      </c>
      <c r="AG71" s="41" t="inlineStr">
        <is>
          <t>Chief Executive Officer &amp; Co-Founder</t>
        </is>
      </c>
      <c r="AH71" s="42" t="inlineStr">
        <is>
          <t/>
        </is>
      </c>
      <c r="AI71" s="43" t="inlineStr">
        <is>
          <t>+7 (8)800 234 0744</t>
        </is>
      </c>
      <c r="AJ71" s="44" t="inlineStr">
        <is>
          <t>Saratov, Russia</t>
        </is>
      </c>
      <c r="AK71" s="45" t="inlineStr">
        <is>
          <t>Yn. Chernyshevsky 94 B</t>
        </is>
      </c>
      <c r="AL71" s="46" t="inlineStr">
        <is>
          <t/>
        </is>
      </c>
      <c r="AM71" s="47" t="inlineStr">
        <is>
          <t>Saratov</t>
        </is>
      </c>
      <c r="AN71" s="48" t="inlineStr">
        <is>
          <t/>
        </is>
      </c>
      <c r="AO71" s="49" t="inlineStr">
        <is>
          <t>410056</t>
        </is>
      </c>
      <c r="AP71" s="50" t="inlineStr">
        <is>
          <t>Russia</t>
        </is>
      </c>
      <c r="AQ71" s="51" t="inlineStr">
        <is>
          <t>+7 (8)800 234 0744</t>
        </is>
      </c>
      <c r="AR71" s="52" t="inlineStr">
        <is>
          <t/>
        </is>
      </c>
      <c r="AS71" s="53" t="inlineStr">
        <is>
          <t>agrosignal@infobis.ru</t>
        </is>
      </c>
      <c r="AT71" s="54" t="inlineStr">
        <is>
          <t>Europe</t>
        </is>
      </c>
      <c r="AU71" s="55" t="inlineStr">
        <is>
          <t>Eastern Europe</t>
        </is>
      </c>
      <c r="AV71" s="56" t="inlineStr">
        <is>
          <t>The company raised RUB 100 million of venture funding from Internet Initiatives Development Fund on October 5, 2017. The funds will be used to the development of the product and the strengthening of the program part, the rest - to the marketing and expansion of the support service.</t>
        </is>
      </c>
      <c r="AW71" s="57" t="inlineStr">
        <is>
          <t>Foundation for Internet Development-Initiatives</t>
        </is>
      </c>
      <c r="AX71" s="58" t="n">
        <v>1.0</v>
      </c>
      <c r="AY71" s="59" t="inlineStr">
        <is>
          <t/>
        </is>
      </c>
      <c r="AZ71" s="60" t="inlineStr">
        <is>
          <t/>
        </is>
      </c>
      <c r="BA71" s="61" t="inlineStr">
        <is>
          <t/>
        </is>
      </c>
      <c r="BB71" s="62" t="inlineStr">
        <is>
          <t>Foundation for Internet Development-Initiatives (www.iidf.ru)</t>
        </is>
      </c>
      <c r="BC71" s="63" t="inlineStr">
        <is>
          <t/>
        </is>
      </c>
      <c r="BD71" s="64" t="inlineStr">
        <is>
          <t/>
        </is>
      </c>
      <c r="BE71" s="65" t="inlineStr">
        <is>
          <t/>
        </is>
      </c>
      <c r="BF71" s="66" t="inlineStr">
        <is>
          <t/>
        </is>
      </c>
      <c r="BG71" s="67" t="n">
        <v>43013.0</v>
      </c>
      <c r="BH71" s="68" t="n">
        <v>1.47</v>
      </c>
      <c r="BI71" s="69" t="inlineStr">
        <is>
          <t>Actual</t>
        </is>
      </c>
      <c r="BJ71" s="70" t="inlineStr">
        <is>
          <t/>
        </is>
      </c>
      <c r="BK71" s="71" t="inlineStr">
        <is>
          <t/>
        </is>
      </c>
      <c r="BL71" s="72" t="inlineStr">
        <is>
          <t>Early Stage VC</t>
        </is>
      </c>
      <c r="BM71" s="73" t="inlineStr">
        <is>
          <t/>
        </is>
      </c>
      <c r="BN71" s="74" t="inlineStr">
        <is>
          <t/>
        </is>
      </c>
      <c r="BO71" s="75" t="inlineStr">
        <is>
          <t>Venture Capital</t>
        </is>
      </c>
      <c r="BP71" s="76" t="inlineStr">
        <is>
          <t/>
        </is>
      </c>
      <c r="BQ71" s="77" t="inlineStr">
        <is>
          <t/>
        </is>
      </c>
      <c r="BR71" s="78" t="inlineStr">
        <is>
          <t/>
        </is>
      </c>
      <c r="BS71" s="79" t="inlineStr">
        <is>
          <t>Completed</t>
        </is>
      </c>
      <c r="BT71" s="80" t="n">
        <v>43013.0</v>
      </c>
      <c r="BU71" s="81" t="n">
        <v>1.47</v>
      </c>
      <c r="BV71" s="82" t="inlineStr">
        <is>
          <t>Actual</t>
        </is>
      </c>
      <c r="BW71" s="83" t="inlineStr">
        <is>
          <t/>
        </is>
      </c>
      <c r="BX71" s="84" t="inlineStr">
        <is>
          <t/>
        </is>
      </c>
      <c r="BY71" s="85" t="inlineStr">
        <is>
          <t>Early Stage VC</t>
        </is>
      </c>
      <c r="BZ71" s="86" t="inlineStr">
        <is>
          <t/>
        </is>
      </c>
      <c r="CA71" s="87" t="inlineStr">
        <is>
          <t/>
        </is>
      </c>
      <c r="CB71" s="88" t="inlineStr">
        <is>
          <t>Venture Capital</t>
        </is>
      </c>
      <c r="CC71" s="89" t="inlineStr">
        <is>
          <t/>
        </is>
      </c>
      <c r="CD71" s="90" t="inlineStr">
        <is>
          <t/>
        </is>
      </c>
      <c r="CE71" s="91" t="inlineStr">
        <is>
          <t/>
        </is>
      </c>
      <c r="CF71" s="92" t="inlineStr">
        <is>
          <t>Completed</t>
        </is>
      </c>
      <c r="CG71" s="93" t="inlineStr">
        <is>
          <t>0,00%</t>
        </is>
      </c>
      <c r="CH71" s="94" t="inlineStr">
        <is>
          <t>33</t>
        </is>
      </c>
      <c r="CI71" s="95" t="inlineStr">
        <is>
          <t/>
        </is>
      </c>
      <c r="CJ71" s="96" t="inlineStr">
        <is>
          <t/>
        </is>
      </c>
      <c r="CK71" s="97" t="inlineStr">
        <is>
          <t/>
        </is>
      </c>
      <c r="CL71" s="98" t="inlineStr">
        <is>
          <t/>
        </is>
      </c>
      <c r="CM71" s="99" t="inlineStr">
        <is>
          <t>0,00%</t>
        </is>
      </c>
      <c r="CN71" s="100" t="inlineStr">
        <is>
          <t>20</t>
        </is>
      </c>
      <c r="CO71" s="101" t="inlineStr">
        <is>
          <t/>
        </is>
      </c>
      <c r="CP71" s="102" t="inlineStr">
        <is>
          <t/>
        </is>
      </c>
      <c r="CQ71" s="103" t="inlineStr">
        <is>
          <t/>
        </is>
      </c>
      <c r="CR71" s="104" t="inlineStr">
        <is>
          <t/>
        </is>
      </c>
      <c r="CS71" s="105" t="inlineStr">
        <is>
          <t>0,00%</t>
        </is>
      </c>
      <c r="CT71" s="106" t="inlineStr">
        <is>
          <t>18</t>
        </is>
      </c>
      <c r="CU71" s="107" t="inlineStr">
        <is>
          <t/>
        </is>
      </c>
      <c r="CV71" s="108" t="inlineStr">
        <is>
          <t/>
        </is>
      </c>
      <c r="CW71" s="109" t="inlineStr">
        <is>
          <t>0,13x</t>
        </is>
      </c>
      <c r="CX71" s="110" t="inlineStr">
        <is>
          <t>11</t>
        </is>
      </c>
      <c r="CY71" s="111" t="inlineStr">
        <is>
          <t/>
        </is>
      </c>
      <c r="CZ71" s="112" t="inlineStr">
        <is>
          <t/>
        </is>
      </c>
      <c r="DA71" s="113" t="inlineStr">
        <is>
          <t/>
        </is>
      </c>
      <c r="DB71" s="114" t="inlineStr">
        <is>
          <t/>
        </is>
      </c>
      <c r="DC71" s="115" t="inlineStr">
        <is>
          <t>0,13x</t>
        </is>
      </c>
      <c r="DD71" s="116" t="inlineStr">
        <is>
          <t>16</t>
        </is>
      </c>
      <c r="DE71" s="117" t="inlineStr">
        <is>
          <t/>
        </is>
      </c>
      <c r="DF71" s="118" t="inlineStr">
        <is>
          <t/>
        </is>
      </c>
      <c r="DG71" s="119" t="inlineStr">
        <is>
          <t/>
        </is>
      </c>
      <c r="DH71" s="120" t="inlineStr">
        <is>
          <t/>
        </is>
      </c>
      <c r="DI71" s="121" t="inlineStr">
        <is>
          <t>0,13x</t>
        </is>
      </c>
      <c r="DJ71" s="122" t="inlineStr">
        <is>
          <t>17</t>
        </is>
      </c>
      <c r="DK71" s="123" t="inlineStr">
        <is>
          <t/>
        </is>
      </c>
      <c r="DL71" s="124" t="inlineStr">
        <is>
          <t/>
        </is>
      </c>
      <c r="DM71" s="125" t="inlineStr">
        <is>
          <t/>
        </is>
      </c>
      <c r="DN71" s="126" t="inlineStr">
        <is>
          <t/>
        </is>
      </c>
      <c r="DO71" s="127" t="inlineStr">
        <is>
          <t/>
        </is>
      </c>
      <c r="DP71" s="128" t="inlineStr">
        <is>
          <t>99</t>
        </is>
      </c>
      <c r="DQ71" s="129" t="inlineStr">
        <is>
          <t>0</t>
        </is>
      </c>
      <c r="DR71" s="130" t="inlineStr">
        <is>
          <t>0,00%</t>
        </is>
      </c>
      <c r="DS71" s="131" t="inlineStr">
        <is>
          <t>2</t>
        </is>
      </c>
      <c r="DT71" s="132" t="inlineStr">
        <is>
          <t>0</t>
        </is>
      </c>
      <c r="DU71" s="133" t="inlineStr">
        <is>
          <t>0,00%</t>
        </is>
      </c>
      <c r="DV71" s="134" t="inlineStr">
        <is>
          <t/>
        </is>
      </c>
      <c r="DW71" s="135" t="inlineStr">
        <is>
          <t/>
        </is>
      </c>
      <c r="DX71" s="136" t="inlineStr">
        <is>
          <t/>
        </is>
      </c>
      <c r="DY71" s="137" t="inlineStr">
        <is>
          <t>PitchBook Research</t>
        </is>
      </c>
      <c r="DZ71" s="785">
        <f>HYPERLINK("https://my.pitchbook.com?c=187723-27", "View company online")</f>
      </c>
    </row>
    <row r="72">
      <c r="A72" s="139" t="inlineStr">
        <is>
          <t>222474-25</t>
        </is>
      </c>
      <c r="B72" s="140" t="inlineStr">
        <is>
          <t>Prevision.io</t>
        </is>
      </c>
      <c r="C72" s="141" t="inlineStr">
        <is>
          <t/>
        </is>
      </c>
      <c r="D72" s="142" t="inlineStr">
        <is>
          <t/>
        </is>
      </c>
      <c r="E72" s="143" t="inlineStr">
        <is>
          <t>222474-25</t>
        </is>
      </c>
      <c r="F72" s="144" t="inlineStr">
        <is>
          <t>Developer of an automatic predictive analytics platform. The company's automatic machine learning platform puts artificial intelligence within the reach of any business with affordable cost and leading performance. It runs 24/7 and able to deliver results on demand through and predicts the future by using data analysis and machine learning algorithms, enabling data scientists, business analysts and business experts to boost their productivity.</t>
        </is>
      </c>
      <c r="G72" s="145" t="inlineStr">
        <is>
          <t>Information Technology</t>
        </is>
      </c>
      <c r="H72" s="146" t="inlineStr">
        <is>
          <t>Software</t>
        </is>
      </c>
      <c r="I72" s="147" t="inlineStr">
        <is>
          <t>Business/Productivity Software</t>
        </is>
      </c>
      <c r="J72" s="148" t="inlineStr">
        <is>
          <t>Business/Productivity Software*</t>
        </is>
      </c>
      <c r="K72" s="149" t="inlineStr">
        <is>
          <t>Artificial Intelligence &amp; Machine Learning, Big Data, SaaS</t>
        </is>
      </c>
      <c r="L72" s="150" t="inlineStr">
        <is>
          <t>Venture Capital-Backed</t>
        </is>
      </c>
      <c r="M72" s="151" t="n">
        <v>1.5</v>
      </c>
      <c r="N72" s="152" t="inlineStr">
        <is>
          <t>Startup</t>
        </is>
      </c>
      <c r="O72" s="153" t="inlineStr">
        <is>
          <t>Privately Held (backing)</t>
        </is>
      </c>
      <c r="P72" s="154" t="inlineStr">
        <is>
          <t>Venture Capital</t>
        </is>
      </c>
      <c r="Q72" s="155" t="inlineStr">
        <is>
          <t>www.prevision.io</t>
        </is>
      </c>
      <c r="R72" s="156" t="inlineStr">
        <is>
          <t/>
        </is>
      </c>
      <c r="S72" s="157" t="inlineStr">
        <is>
          <t/>
        </is>
      </c>
      <c r="T72" s="158" t="inlineStr">
        <is>
          <t/>
        </is>
      </c>
      <c r="U72" s="159" t="n">
        <v>2016.0</v>
      </c>
      <c r="V72" s="160" t="inlineStr">
        <is>
          <t/>
        </is>
      </c>
      <c r="W72" s="161" t="inlineStr">
        <is>
          <t/>
        </is>
      </c>
      <c r="X72" s="162" t="inlineStr">
        <is>
          <r>
            <rPr>
              <b/>
              <color rgb="ff26854d"/>
              <rFont val="Arial"/>
              <sz val="8.0"/>
            </rPr>
            <t>New Company</t>
          </r>
        </is>
      </c>
      <c r="Y72" s="163" t="inlineStr">
        <is>
          <t/>
        </is>
      </c>
      <c r="Z72" s="164" t="inlineStr">
        <is>
          <t/>
        </is>
      </c>
      <c r="AA72" s="165" t="inlineStr">
        <is>
          <t/>
        </is>
      </c>
      <c r="AB72" s="166" t="inlineStr">
        <is>
          <t/>
        </is>
      </c>
      <c r="AC72" s="167" t="inlineStr">
        <is>
          <t/>
        </is>
      </c>
      <c r="AD72" s="168" t="inlineStr">
        <is>
          <t/>
        </is>
      </c>
      <c r="AE72" s="169" t="inlineStr">
        <is>
          <t>175007-35P</t>
        </is>
      </c>
      <c r="AF72" s="170" t="inlineStr">
        <is>
          <t>Tuncay Isik</t>
        </is>
      </c>
      <c r="AG72" s="171" t="inlineStr">
        <is>
          <t>Co-Founder &amp; Founding Chief Executive Officer</t>
        </is>
      </c>
      <c r="AH72" s="172" t="inlineStr">
        <is>
          <t>tuncay.isik@prevision.io</t>
        </is>
      </c>
      <c r="AI72" s="173" t="inlineStr">
        <is>
          <t/>
        </is>
      </c>
      <c r="AJ72" s="174" t="inlineStr">
        <is>
          <t>Paris, France</t>
        </is>
      </c>
      <c r="AK72" s="175" t="inlineStr">
        <is>
          <t>Station F, 14 Rue Eugène Freyssinet</t>
        </is>
      </c>
      <c r="AL72" s="176" t="inlineStr">
        <is>
          <t/>
        </is>
      </c>
      <c r="AM72" s="177" t="inlineStr">
        <is>
          <t>Paris</t>
        </is>
      </c>
      <c r="AN72" s="178" t="inlineStr">
        <is>
          <t/>
        </is>
      </c>
      <c r="AO72" s="179" t="inlineStr">
        <is>
          <t>75013</t>
        </is>
      </c>
      <c r="AP72" s="180" t="inlineStr">
        <is>
          <t>France</t>
        </is>
      </c>
      <c r="AQ72" s="181" t="inlineStr">
        <is>
          <t/>
        </is>
      </c>
      <c r="AR72" s="182" t="inlineStr">
        <is>
          <t/>
        </is>
      </c>
      <c r="AS72" s="183" t="inlineStr">
        <is>
          <t>prevision@prevision.io</t>
        </is>
      </c>
      <c r="AT72" s="184" t="inlineStr">
        <is>
          <t>Europe</t>
        </is>
      </c>
      <c r="AU72" s="185" t="inlineStr">
        <is>
          <t>Western Europe</t>
        </is>
      </c>
      <c r="AV72" s="186" t="inlineStr">
        <is>
          <t>The company raised EUR 1.5 million of Seed funding from Hi inov via the SNCF Digital Ventures fund, with Net Venture and Bpifrance on November 7, 2017. The funds will be used to accelerate its growth.</t>
        </is>
      </c>
      <c r="AW72" s="187" t="inlineStr">
        <is>
          <t>ACT 574, Bpifrance, Hi Inov, Net Venture Partners, Station F</t>
        </is>
      </c>
      <c r="AX72" s="188" t="n">
        <v>5.0</v>
      </c>
      <c r="AY72" s="189" t="inlineStr">
        <is>
          <t/>
        </is>
      </c>
      <c r="AZ72" s="190" t="inlineStr">
        <is>
          <t/>
        </is>
      </c>
      <c r="BA72" s="191" t="inlineStr">
        <is>
          <t/>
        </is>
      </c>
      <c r="BB72" s="192" t="inlineStr">
        <is>
          <t>Bpifrance (www.bpifrance.fr), Hi Inov (www.hiinov.com), Station F (stationf.co)</t>
        </is>
      </c>
      <c r="BC72" s="193" t="inlineStr">
        <is>
          <t/>
        </is>
      </c>
      <c r="BD72" s="194" t="inlineStr">
        <is>
          <t/>
        </is>
      </c>
      <c r="BE72" s="195" t="inlineStr">
        <is>
          <t/>
        </is>
      </c>
      <c r="BF72" s="196" t="inlineStr">
        <is>
          <t/>
        </is>
      </c>
      <c r="BG72" s="197" t="inlineStr">
        <is>
          <t/>
        </is>
      </c>
      <c r="BH72" s="198" t="inlineStr">
        <is>
          <t/>
        </is>
      </c>
      <c r="BI72" s="199" t="inlineStr">
        <is>
          <t/>
        </is>
      </c>
      <c r="BJ72" s="200" t="inlineStr">
        <is>
          <t/>
        </is>
      </c>
      <c r="BK72" s="201" t="inlineStr">
        <is>
          <t/>
        </is>
      </c>
      <c r="BL72" s="202" t="inlineStr">
        <is>
          <t>Accelerator/Incubator</t>
        </is>
      </c>
      <c r="BM72" s="203" t="inlineStr">
        <is>
          <t/>
        </is>
      </c>
      <c r="BN72" s="204" t="inlineStr">
        <is>
          <t/>
        </is>
      </c>
      <c r="BO72" s="205" t="inlineStr">
        <is>
          <t>Other</t>
        </is>
      </c>
      <c r="BP72" s="206" t="inlineStr">
        <is>
          <t/>
        </is>
      </c>
      <c r="BQ72" s="207" t="inlineStr">
        <is>
          <t/>
        </is>
      </c>
      <c r="BR72" s="208" t="inlineStr">
        <is>
          <t/>
        </is>
      </c>
      <c r="BS72" s="209" t="inlineStr">
        <is>
          <t>Completed</t>
        </is>
      </c>
      <c r="BT72" s="210" t="n">
        <v>43046.0</v>
      </c>
      <c r="BU72" s="211" t="n">
        <v>1.5</v>
      </c>
      <c r="BV72" s="212" t="inlineStr">
        <is>
          <t>Actual</t>
        </is>
      </c>
      <c r="BW72" s="213" t="inlineStr">
        <is>
          <t/>
        </is>
      </c>
      <c r="BX72" s="214" t="inlineStr">
        <is>
          <t/>
        </is>
      </c>
      <c r="BY72" s="215" t="inlineStr">
        <is>
          <t>Seed Round</t>
        </is>
      </c>
      <c r="BZ72" s="216" t="inlineStr">
        <is>
          <t>Seed</t>
        </is>
      </c>
      <c r="CA72" s="217" t="inlineStr">
        <is>
          <t/>
        </is>
      </c>
      <c r="CB72" s="218" t="inlineStr">
        <is>
          <t>Venture Capital</t>
        </is>
      </c>
      <c r="CC72" s="219" t="inlineStr">
        <is>
          <t/>
        </is>
      </c>
      <c r="CD72" s="220" t="inlineStr">
        <is>
          <t/>
        </is>
      </c>
      <c r="CE72" s="221" t="inlineStr">
        <is>
          <t/>
        </is>
      </c>
      <c r="CF72" s="222" t="inlineStr">
        <is>
          <t>Completed</t>
        </is>
      </c>
      <c r="CG72" s="223" t="inlineStr">
        <is>
          <t>0,00%</t>
        </is>
      </c>
      <c r="CH72" s="224" t="inlineStr">
        <is>
          <t>33</t>
        </is>
      </c>
      <c r="CI72" s="225" t="inlineStr">
        <is>
          <t>0,00%</t>
        </is>
      </c>
      <c r="CJ72" s="226" t="inlineStr">
        <is>
          <t>0,00%</t>
        </is>
      </c>
      <c r="CK72" s="227" t="inlineStr">
        <is>
          <t>0,00%</t>
        </is>
      </c>
      <c r="CL72" s="228" t="inlineStr">
        <is>
          <t>28</t>
        </is>
      </c>
      <c r="CM72" s="229" t="inlineStr">
        <is>
          <t/>
        </is>
      </c>
      <c r="CN72" s="230" t="inlineStr">
        <is>
          <t/>
        </is>
      </c>
      <c r="CO72" s="231" t="inlineStr">
        <is>
          <t>0,00%</t>
        </is>
      </c>
      <c r="CP72" s="232" t="inlineStr">
        <is>
          <t>37</t>
        </is>
      </c>
      <c r="CQ72" s="233" t="inlineStr">
        <is>
          <t>0,00%</t>
        </is>
      </c>
      <c r="CR72" s="234" t="inlineStr">
        <is>
          <t>20</t>
        </is>
      </c>
      <c r="CS72" s="235" t="inlineStr">
        <is>
          <t/>
        </is>
      </c>
      <c r="CT72" s="236" t="inlineStr">
        <is>
          <t/>
        </is>
      </c>
      <c r="CU72" s="237" t="inlineStr">
        <is>
          <t/>
        </is>
      </c>
      <c r="CV72" s="238" t="inlineStr">
        <is>
          <t/>
        </is>
      </c>
      <c r="CW72" s="239" t="inlineStr">
        <is>
          <t>0,74x</t>
        </is>
      </c>
      <c r="CX72" s="240" t="inlineStr">
        <is>
          <t>42</t>
        </is>
      </c>
      <c r="CY72" s="241" t="inlineStr">
        <is>
          <t>0,00x</t>
        </is>
      </c>
      <c r="CZ72" s="242" t="inlineStr">
        <is>
          <t>0,00%</t>
        </is>
      </c>
      <c r="DA72" s="243" t="inlineStr">
        <is>
          <t>0,74x</t>
        </is>
      </c>
      <c r="DB72" s="244" t="inlineStr">
        <is>
          <t>44</t>
        </is>
      </c>
      <c r="DC72" s="245" t="inlineStr">
        <is>
          <t/>
        </is>
      </c>
      <c r="DD72" s="246" t="inlineStr">
        <is>
          <t/>
        </is>
      </c>
      <c r="DE72" s="247" t="inlineStr">
        <is>
          <t>1,17x</t>
        </is>
      </c>
      <c r="DF72" s="248" t="inlineStr">
        <is>
          <t>54</t>
        </is>
      </c>
      <c r="DG72" s="249" t="inlineStr">
        <is>
          <t>0,31x</t>
        </is>
      </c>
      <c r="DH72" s="250" t="inlineStr">
        <is>
          <t>26</t>
        </is>
      </c>
      <c r="DI72" s="251" t="inlineStr">
        <is>
          <t/>
        </is>
      </c>
      <c r="DJ72" s="252" t="inlineStr">
        <is>
          <t/>
        </is>
      </c>
      <c r="DK72" s="253" t="inlineStr">
        <is>
          <t/>
        </is>
      </c>
      <c r="DL72" s="254" t="inlineStr">
        <is>
          <t/>
        </is>
      </c>
      <c r="DM72" s="255" t="inlineStr">
        <is>
          <t>465</t>
        </is>
      </c>
      <c r="DN72" s="256" t="inlineStr">
        <is>
          <t>-91</t>
        </is>
      </c>
      <c r="DO72" s="257" t="inlineStr">
        <is>
          <t>-16,37%</t>
        </is>
      </c>
      <c r="DP72" s="258" t="inlineStr">
        <is>
          <t/>
        </is>
      </c>
      <c r="DQ72" s="259" t="inlineStr">
        <is>
          <t/>
        </is>
      </c>
      <c r="DR72" s="260" t="inlineStr">
        <is>
          <t/>
        </is>
      </c>
      <c r="DS72" s="261" t="inlineStr">
        <is>
          <t>10</t>
        </is>
      </c>
      <c r="DT72" s="262" t="inlineStr">
        <is>
          <t>1</t>
        </is>
      </c>
      <c r="DU72" s="263" t="inlineStr">
        <is>
          <t>11,11%</t>
        </is>
      </c>
      <c r="DV72" s="264" t="inlineStr">
        <is>
          <t/>
        </is>
      </c>
      <c r="DW72" s="265" t="inlineStr">
        <is>
          <t/>
        </is>
      </c>
      <c r="DX72" s="266" t="inlineStr">
        <is>
          <t/>
        </is>
      </c>
      <c r="DY72" s="267" t="inlineStr">
        <is>
          <t>PitchBook Research</t>
        </is>
      </c>
      <c r="DZ72" s="786">
        <f>HYPERLINK("https://my.pitchbook.com?c=222474-25", "View company online")</f>
      </c>
    </row>
    <row r="73">
      <c r="A73" s="9" t="inlineStr">
        <is>
          <t>170783-92</t>
        </is>
      </c>
      <c r="B73" s="10" t="inlineStr">
        <is>
          <t>Cosmo Connected</t>
        </is>
      </c>
      <c r="C73" s="11" t="inlineStr">
        <is>
          <t/>
        </is>
      </c>
      <c r="D73" s="12" t="inlineStr">
        <is>
          <t/>
        </is>
      </c>
      <c r="E73" s="13" t="inlineStr">
        <is>
          <t>170783-92</t>
        </is>
      </c>
      <c r="F73" s="14" t="inlineStr">
        <is>
          <t>Developer of a smart helmet designed to improve the physical safety of riders. The company's smart helmet combines a rear light that provides visibility in all weather conditions and a curated mobile application that utilizes GPS to alert and provide medical information and coordinates to the nearest rescue team in the event of an accident, enabling riders to be safer on the road.</t>
        </is>
      </c>
      <c r="G73" s="15" t="inlineStr">
        <is>
          <t>Consumer Products and Services (B2C)</t>
        </is>
      </c>
      <c r="H73" s="16" t="inlineStr">
        <is>
          <t>Apparel and Accessories</t>
        </is>
      </c>
      <c r="I73" s="17" t="inlineStr">
        <is>
          <t>Accessories</t>
        </is>
      </c>
      <c r="J73" s="18" t="inlineStr">
        <is>
          <t>Accessories*; Other Consumer Durables; Application Software</t>
        </is>
      </c>
      <c r="K73" s="19" t="inlineStr">
        <is>
          <t>Mobile, Wearables &amp; Quantified Self</t>
        </is>
      </c>
      <c r="L73" s="20" t="inlineStr">
        <is>
          <t>Venture Capital-Backed</t>
        </is>
      </c>
      <c r="M73" s="21" t="n">
        <v>1.5</v>
      </c>
      <c r="N73" s="22" t="inlineStr">
        <is>
          <t>Generating Revenue</t>
        </is>
      </c>
      <c r="O73" s="23" t="inlineStr">
        <is>
          <t>Privately Held (backing)</t>
        </is>
      </c>
      <c r="P73" s="24" t="inlineStr">
        <is>
          <t>Venture Capital</t>
        </is>
      </c>
      <c r="Q73" s="25" t="inlineStr">
        <is>
          <t>www.cosmoconnected.com</t>
        </is>
      </c>
      <c r="R73" s="26" t="n">
        <v>5.0</v>
      </c>
      <c r="S73" s="27" t="inlineStr">
        <is>
          <t/>
        </is>
      </c>
      <c r="T73" s="28" t="inlineStr">
        <is>
          <t/>
        </is>
      </c>
      <c r="U73" s="29" t="n">
        <v>2015.0</v>
      </c>
      <c r="V73" s="30" t="inlineStr">
        <is>
          <t/>
        </is>
      </c>
      <c r="W73" s="31" t="inlineStr">
        <is>
          <t/>
        </is>
      </c>
      <c r="X73" s="32" t="inlineStr">
        <is>
          <t/>
        </is>
      </c>
      <c r="Y73" s="33" t="inlineStr">
        <is>
          <t/>
        </is>
      </c>
      <c r="Z73" s="34" t="inlineStr">
        <is>
          <t/>
        </is>
      </c>
      <c r="AA73" s="35" t="inlineStr">
        <is>
          <t/>
        </is>
      </c>
      <c r="AB73" s="36" t="inlineStr">
        <is>
          <t/>
        </is>
      </c>
      <c r="AC73" s="37" t="inlineStr">
        <is>
          <t/>
        </is>
      </c>
      <c r="AD73" s="38" t="inlineStr">
        <is>
          <t/>
        </is>
      </c>
      <c r="AE73" s="39" t="inlineStr">
        <is>
          <t>157533-76P</t>
        </is>
      </c>
      <c r="AF73" s="40" t="inlineStr">
        <is>
          <t>Charles Pingree</t>
        </is>
      </c>
      <c r="AG73" s="41" t="inlineStr">
        <is>
          <t>Co-Founder</t>
        </is>
      </c>
      <c r="AH73" s="42" t="inlineStr">
        <is>
          <t>charlespingree@cosmoconnected.com</t>
        </is>
      </c>
      <c r="AI73" s="43" t="inlineStr">
        <is>
          <t/>
        </is>
      </c>
      <c r="AJ73" s="44" t="inlineStr">
        <is>
          <t>Paris, France</t>
        </is>
      </c>
      <c r="AK73" s="45" t="inlineStr">
        <is>
          <t>6 rue Duret</t>
        </is>
      </c>
      <c r="AL73" s="46" t="inlineStr">
        <is>
          <t/>
        </is>
      </c>
      <c r="AM73" s="47" t="inlineStr">
        <is>
          <t>Paris</t>
        </is>
      </c>
      <c r="AN73" s="48" t="inlineStr">
        <is>
          <t/>
        </is>
      </c>
      <c r="AO73" s="49" t="inlineStr">
        <is>
          <t>75116</t>
        </is>
      </c>
      <c r="AP73" s="50" t="inlineStr">
        <is>
          <t>France</t>
        </is>
      </c>
      <c r="AQ73" s="51" t="inlineStr">
        <is>
          <t/>
        </is>
      </c>
      <c r="AR73" s="52" t="inlineStr">
        <is>
          <t/>
        </is>
      </c>
      <c r="AS73" s="53" t="inlineStr">
        <is>
          <t>info@cosmoconnected.com</t>
        </is>
      </c>
      <c r="AT73" s="54" t="inlineStr">
        <is>
          <t>Europe</t>
        </is>
      </c>
      <c r="AU73" s="55" t="inlineStr">
        <is>
          <t>Western Europe</t>
        </is>
      </c>
      <c r="AV73" s="56" t="inlineStr">
        <is>
          <t>The company raised EUR 1.5 million of venture funding in a deal led by Pôle Capital, Jean-Emile Rosenblum, Mobivia Groupe and Steve Rosenblum on October 4, 2017. Earlier, the company raised EUR 61,410 of product crowdfunding via Indiegogo on June 26, 2017. Previously, the company raised EUR 56,153 of product crowdfunding via Kickstarter on June 25, 2017.</t>
        </is>
      </c>
      <c r="AW73" s="57" t="inlineStr">
        <is>
          <t>Mobivia Groupe, Pôle Capital</t>
        </is>
      </c>
      <c r="AX73" s="58" t="n">
        <v>2.0</v>
      </c>
      <c r="AY73" s="59" t="inlineStr">
        <is>
          <t/>
        </is>
      </c>
      <c r="AZ73" s="60" t="inlineStr">
        <is>
          <t/>
        </is>
      </c>
      <c r="BA73" s="61" t="inlineStr">
        <is>
          <t/>
        </is>
      </c>
      <c r="BB73" s="62" t="inlineStr">
        <is>
          <t>Pôle Capital (www.polecapital.com)</t>
        </is>
      </c>
      <c r="BC73" s="63" t="inlineStr">
        <is>
          <t/>
        </is>
      </c>
      <c r="BD73" s="64" t="inlineStr">
        <is>
          <t/>
        </is>
      </c>
      <c r="BE73" s="65" t="inlineStr">
        <is>
          <t/>
        </is>
      </c>
      <c r="BF73" s="66" t="inlineStr">
        <is>
          <t>Indiegogo (Lead Manager or Arranger), Kickstarter (Lead Manager or Arranger)</t>
        </is>
      </c>
      <c r="BG73" s="67" t="n">
        <v>42911.0</v>
      </c>
      <c r="BH73" s="68" t="n">
        <v>0.06</v>
      </c>
      <c r="BI73" s="69" t="inlineStr">
        <is>
          <t>Actual</t>
        </is>
      </c>
      <c r="BJ73" s="70" t="inlineStr">
        <is>
          <t/>
        </is>
      </c>
      <c r="BK73" s="71" t="inlineStr">
        <is>
          <t/>
        </is>
      </c>
      <c r="BL73" s="72" t="inlineStr">
        <is>
          <t>Product Crowdfunding</t>
        </is>
      </c>
      <c r="BM73" s="73" t="inlineStr">
        <is>
          <t/>
        </is>
      </c>
      <c r="BN73" s="74" t="inlineStr">
        <is>
          <t/>
        </is>
      </c>
      <c r="BO73" s="75" t="inlineStr">
        <is>
          <t>Individual</t>
        </is>
      </c>
      <c r="BP73" s="76" t="inlineStr">
        <is>
          <t/>
        </is>
      </c>
      <c r="BQ73" s="77" t="inlineStr">
        <is>
          <t/>
        </is>
      </c>
      <c r="BR73" s="78" t="inlineStr">
        <is>
          <t/>
        </is>
      </c>
      <c r="BS73" s="79" t="inlineStr">
        <is>
          <t>Completed</t>
        </is>
      </c>
      <c r="BT73" s="80" t="n">
        <v>43012.0</v>
      </c>
      <c r="BU73" s="81" t="n">
        <v>1.5</v>
      </c>
      <c r="BV73" s="82" t="inlineStr">
        <is>
          <t>Actual</t>
        </is>
      </c>
      <c r="BW73" s="83" t="inlineStr">
        <is>
          <t/>
        </is>
      </c>
      <c r="BX73" s="84" t="inlineStr">
        <is>
          <t/>
        </is>
      </c>
      <c r="BY73" s="85" t="inlineStr">
        <is>
          <t>Early Stage VC</t>
        </is>
      </c>
      <c r="BZ73" s="86" t="inlineStr">
        <is>
          <t/>
        </is>
      </c>
      <c r="CA73" s="87" t="inlineStr">
        <is>
          <t/>
        </is>
      </c>
      <c r="CB73" s="88" t="inlineStr">
        <is>
          <t>Venture Capital</t>
        </is>
      </c>
      <c r="CC73" s="89" t="inlineStr">
        <is>
          <t/>
        </is>
      </c>
      <c r="CD73" s="90" t="inlineStr">
        <is>
          <t/>
        </is>
      </c>
      <c r="CE73" s="91" t="inlineStr">
        <is>
          <t/>
        </is>
      </c>
      <c r="CF73" s="92" t="inlineStr">
        <is>
          <t>Completed</t>
        </is>
      </c>
      <c r="CG73" s="93" t="inlineStr">
        <is>
          <t>2,17%</t>
        </is>
      </c>
      <c r="CH73" s="94" t="inlineStr">
        <is>
          <t>98</t>
        </is>
      </c>
      <c r="CI73" s="95" t="inlineStr">
        <is>
          <t>-0,05%</t>
        </is>
      </c>
      <c r="CJ73" s="96" t="inlineStr">
        <is>
          <t>-2,19%</t>
        </is>
      </c>
      <c r="CK73" s="97" t="inlineStr">
        <is>
          <t/>
        </is>
      </c>
      <c r="CL73" s="98" t="inlineStr">
        <is>
          <t/>
        </is>
      </c>
      <c r="CM73" s="99" t="inlineStr">
        <is>
          <t>2,17%</t>
        </is>
      </c>
      <c r="CN73" s="100" t="inlineStr">
        <is>
          <t>99</t>
        </is>
      </c>
      <c r="CO73" s="101" t="inlineStr">
        <is>
          <t/>
        </is>
      </c>
      <c r="CP73" s="102" t="inlineStr">
        <is>
          <t/>
        </is>
      </c>
      <c r="CQ73" s="103" t="inlineStr">
        <is>
          <t/>
        </is>
      </c>
      <c r="CR73" s="104" t="inlineStr">
        <is>
          <t/>
        </is>
      </c>
      <c r="CS73" s="105" t="inlineStr">
        <is>
          <t>2,17%</t>
        </is>
      </c>
      <c r="CT73" s="106" t="inlineStr">
        <is>
          <t>98</t>
        </is>
      </c>
      <c r="CU73" s="107" t="inlineStr">
        <is>
          <t/>
        </is>
      </c>
      <c r="CV73" s="108" t="inlineStr">
        <is>
          <t/>
        </is>
      </c>
      <c r="CW73" s="109" t="inlineStr">
        <is>
          <t>5,97x</t>
        </is>
      </c>
      <c r="CX73" s="110" t="inlineStr">
        <is>
          <t>82</t>
        </is>
      </c>
      <c r="CY73" s="111" t="inlineStr">
        <is>
          <t>0,07x</t>
        </is>
      </c>
      <c r="CZ73" s="112" t="inlineStr">
        <is>
          <t>1,23%</t>
        </is>
      </c>
      <c r="DA73" s="113" t="inlineStr">
        <is>
          <t/>
        </is>
      </c>
      <c r="DB73" s="114" t="inlineStr">
        <is>
          <t/>
        </is>
      </c>
      <c r="DC73" s="115" t="inlineStr">
        <is>
          <t>5,97x</t>
        </is>
      </c>
      <c r="DD73" s="116" t="inlineStr">
        <is>
          <t>78</t>
        </is>
      </c>
      <c r="DE73" s="117" t="inlineStr">
        <is>
          <t/>
        </is>
      </c>
      <c r="DF73" s="118" t="inlineStr">
        <is>
          <t/>
        </is>
      </c>
      <c r="DG73" s="119" t="inlineStr">
        <is>
          <t/>
        </is>
      </c>
      <c r="DH73" s="120" t="inlineStr">
        <is>
          <t/>
        </is>
      </c>
      <c r="DI73" s="121" t="inlineStr">
        <is>
          <t>5,97x</t>
        </is>
      </c>
      <c r="DJ73" s="122" t="inlineStr">
        <is>
          <t>76</t>
        </is>
      </c>
      <c r="DK73" s="123" t="inlineStr">
        <is>
          <t/>
        </is>
      </c>
      <c r="DL73" s="124" t="inlineStr">
        <is>
          <t/>
        </is>
      </c>
      <c r="DM73" s="125" t="inlineStr">
        <is>
          <t/>
        </is>
      </c>
      <c r="DN73" s="126" t="inlineStr">
        <is>
          <t/>
        </is>
      </c>
      <c r="DO73" s="127" t="inlineStr">
        <is>
          <t/>
        </is>
      </c>
      <c r="DP73" s="128" t="inlineStr">
        <is>
          <t>4.691</t>
        </is>
      </c>
      <c r="DQ73" s="129" t="inlineStr">
        <is>
          <t>93</t>
        </is>
      </c>
      <c r="DR73" s="130" t="inlineStr">
        <is>
          <t>2,02%</t>
        </is>
      </c>
      <c r="DS73" s="131" t="inlineStr">
        <is>
          <t/>
        </is>
      </c>
      <c r="DT73" s="132" t="inlineStr">
        <is>
          <t/>
        </is>
      </c>
      <c r="DU73" s="133" t="inlineStr">
        <is>
          <t/>
        </is>
      </c>
      <c r="DV73" s="134" t="inlineStr">
        <is>
          <t/>
        </is>
      </c>
      <c r="DW73" s="135" t="inlineStr">
        <is>
          <t/>
        </is>
      </c>
      <c r="DX73" s="136" t="inlineStr">
        <is>
          <t/>
        </is>
      </c>
      <c r="DY73" s="137" t="inlineStr">
        <is>
          <t>PitchBook Research</t>
        </is>
      </c>
      <c r="DZ73" s="785">
        <f>HYPERLINK("https://my.pitchbook.com?c=170783-92", "View company online")</f>
      </c>
    </row>
    <row r="74">
      <c r="A74" s="139" t="inlineStr">
        <is>
          <t>181257-40</t>
        </is>
      </c>
      <c r="B74" s="140" t="inlineStr">
        <is>
          <t>Alsid</t>
        </is>
      </c>
      <c r="C74" s="141" t="inlineStr">
        <is>
          <t/>
        </is>
      </c>
      <c r="D74" s="142" t="inlineStr">
        <is>
          <t/>
        </is>
      </c>
      <c r="E74" s="143" t="inlineStr">
        <is>
          <t>181257-40</t>
        </is>
      </c>
      <c r="F74" s="144" t="inlineStr">
        <is>
          <t>Provider of a a cloud-based attack-surface visualization technology intended to detect directory breaches before any kind of cyber attacks. The company's Directory Security Compliance (DSC) helps to detect computer attacks by identifying the weak signals at the origin of these attacks in real time, enabling companies to secure their directory infrastructures.</t>
        </is>
      </c>
      <c r="G74" s="145" t="inlineStr">
        <is>
          <t>Information Technology</t>
        </is>
      </c>
      <c r="H74" s="146" t="inlineStr">
        <is>
          <t>Software</t>
        </is>
      </c>
      <c r="I74" s="147" t="inlineStr">
        <is>
          <t>Network Management Software</t>
        </is>
      </c>
      <c r="J74" s="148" t="inlineStr">
        <is>
          <t>Network Management Software*</t>
        </is>
      </c>
      <c r="K74" s="149" t="inlineStr">
        <is>
          <t>Cybersecurity, SaaS</t>
        </is>
      </c>
      <c r="L74" s="150" t="inlineStr">
        <is>
          <t>Venture Capital-Backed</t>
        </is>
      </c>
      <c r="M74" s="151" t="n">
        <v>1.5</v>
      </c>
      <c r="N74" s="152" t="inlineStr">
        <is>
          <t>Generating Revenue</t>
        </is>
      </c>
      <c r="O74" s="153" t="inlineStr">
        <is>
          <t>Privately Held (backing)</t>
        </is>
      </c>
      <c r="P74" s="154" t="inlineStr">
        <is>
          <t>Venture Capital</t>
        </is>
      </c>
      <c r="Q74" s="155" t="inlineStr">
        <is>
          <t>www.alsid.eu</t>
        </is>
      </c>
      <c r="R74" s="156" t="n">
        <v>8.0</v>
      </c>
      <c r="S74" s="157" t="inlineStr">
        <is>
          <t/>
        </is>
      </c>
      <c r="T74" s="158" t="inlineStr">
        <is>
          <t/>
        </is>
      </c>
      <c r="U74" s="159" t="n">
        <v>2016.0</v>
      </c>
      <c r="V74" s="160" t="inlineStr">
        <is>
          <t/>
        </is>
      </c>
      <c r="W74" s="161" t="inlineStr">
        <is>
          <t/>
        </is>
      </c>
      <c r="X74" s="162" t="inlineStr">
        <is>
          <t/>
        </is>
      </c>
      <c r="Y74" s="163" t="inlineStr">
        <is>
          <t/>
        </is>
      </c>
      <c r="Z74" s="164" t="inlineStr">
        <is>
          <t/>
        </is>
      </c>
      <c r="AA74" s="165" t="inlineStr">
        <is>
          <t/>
        </is>
      </c>
      <c r="AB74" s="166" t="inlineStr">
        <is>
          <t/>
        </is>
      </c>
      <c r="AC74" s="167" t="inlineStr">
        <is>
          <t/>
        </is>
      </c>
      <c r="AD74" s="168" t="inlineStr">
        <is>
          <t/>
        </is>
      </c>
      <c r="AE74" s="169" t="inlineStr">
        <is>
          <t>163670-50P</t>
        </is>
      </c>
      <c r="AF74" s="170" t="inlineStr">
        <is>
          <t>Emmanuel Gras</t>
        </is>
      </c>
      <c r="AG74" s="171" t="inlineStr">
        <is>
          <t>Co-Founder, President &amp; Chief Executive Officer</t>
        </is>
      </c>
      <c r="AH74" s="172" t="inlineStr">
        <is>
          <t>emmanuel.gras@alsid.eu</t>
        </is>
      </c>
      <c r="AI74" s="173" t="inlineStr">
        <is>
          <t>+33 (0)6 77 31 34 88</t>
        </is>
      </c>
      <c r="AJ74" s="174" t="inlineStr">
        <is>
          <t>Paris, France</t>
        </is>
      </c>
      <c r="AK74" s="175" t="inlineStr">
        <is>
          <t>5 rue Davy</t>
        </is>
      </c>
      <c r="AL74" s="176" t="inlineStr">
        <is>
          <t/>
        </is>
      </c>
      <c r="AM74" s="177" t="inlineStr">
        <is>
          <t>Paris</t>
        </is>
      </c>
      <c r="AN74" s="178" t="inlineStr">
        <is>
          <t/>
        </is>
      </c>
      <c r="AO74" s="179" t="inlineStr">
        <is>
          <t>75017</t>
        </is>
      </c>
      <c r="AP74" s="180" t="inlineStr">
        <is>
          <t>France</t>
        </is>
      </c>
      <c r="AQ74" s="181" t="inlineStr">
        <is>
          <t/>
        </is>
      </c>
      <c r="AR74" s="182" t="inlineStr">
        <is>
          <t/>
        </is>
      </c>
      <c r="AS74" s="183" t="inlineStr">
        <is>
          <t>hello@alsid.eu</t>
        </is>
      </c>
      <c r="AT74" s="184" t="inlineStr">
        <is>
          <t>Europe</t>
        </is>
      </c>
      <c r="AU74" s="185" t="inlineStr">
        <is>
          <t>Western Europe</t>
        </is>
      </c>
      <c r="AV74" s="186" t="inlineStr">
        <is>
          <t>The company raised EUR 1.5 million of seed funding in a deal led by 360 Capital Partners on September 18, 2017. Axeleo Capital and other undisclosed investors also participated in the round. The funds will be used to the company's sustained growth in Europe and to strengthen their R&amp;D team. Previously, the company also joined Agoranov on February 2, 2017.</t>
        </is>
      </c>
      <c r="AW74" s="187" t="inlineStr">
        <is>
          <t>360 Capital Partners, Agoranov, Axeleo</t>
        </is>
      </c>
      <c r="AX74" s="188" t="n">
        <v>3.0</v>
      </c>
      <c r="AY74" s="189" t="inlineStr">
        <is>
          <t/>
        </is>
      </c>
      <c r="AZ74" s="190" t="inlineStr">
        <is>
          <t/>
        </is>
      </c>
      <c r="BA74" s="191" t="inlineStr">
        <is>
          <t/>
        </is>
      </c>
      <c r="BB74" s="192" t="inlineStr">
        <is>
          <t>360 Capital Partners (www.360capitalpartners.com), Agoranov (www.agoranov.com), Axeleo (www.axeleo.com)</t>
        </is>
      </c>
      <c r="BC74" s="193" t="inlineStr">
        <is>
          <t/>
        </is>
      </c>
      <c r="BD74" s="194" t="inlineStr">
        <is>
          <t/>
        </is>
      </c>
      <c r="BE74" s="195" t="inlineStr">
        <is>
          <t/>
        </is>
      </c>
      <c r="BF74" s="196" t="inlineStr">
        <is>
          <t/>
        </is>
      </c>
      <c r="BG74" s="197" t="n">
        <v>42768.0</v>
      </c>
      <c r="BH74" s="198" t="inlineStr">
        <is>
          <t/>
        </is>
      </c>
      <c r="BI74" s="199" t="inlineStr">
        <is>
          <t/>
        </is>
      </c>
      <c r="BJ74" s="200" t="inlineStr">
        <is>
          <t/>
        </is>
      </c>
      <c r="BK74" s="201" t="inlineStr">
        <is>
          <t/>
        </is>
      </c>
      <c r="BL74" s="202" t="inlineStr">
        <is>
          <t>Accelerator/Incubator</t>
        </is>
      </c>
      <c r="BM74" s="203" t="inlineStr">
        <is>
          <t/>
        </is>
      </c>
      <c r="BN74" s="204" t="inlineStr">
        <is>
          <t/>
        </is>
      </c>
      <c r="BO74" s="205" t="inlineStr">
        <is>
          <t>Other</t>
        </is>
      </c>
      <c r="BP74" s="206" t="inlineStr">
        <is>
          <t/>
        </is>
      </c>
      <c r="BQ74" s="207" t="inlineStr">
        <is>
          <t/>
        </is>
      </c>
      <c r="BR74" s="208" t="inlineStr">
        <is>
          <t/>
        </is>
      </c>
      <c r="BS74" s="209" t="inlineStr">
        <is>
          <t>Completed</t>
        </is>
      </c>
      <c r="BT74" s="210" t="n">
        <v>42996.0</v>
      </c>
      <c r="BU74" s="211" t="n">
        <v>1.5</v>
      </c>
      <c r="BV74" s="212" t="inlineStr">
        <is>
          <t>Actual</t>
        </is>
      </c>
      <c r="BW74" s="213" t="inlineStr">
        <is>
          <t/>
        </is>
      </c>
      <c r="BX74" s="214" t="inlineStr">
        <is>
          <t/>
        </is>
      </c>
      <c r="BY74" s="215" t="inlineStr">
        <is>
          <t>Seed Round</t>
        </is>
      </c>
      <c r="BZ74" s="216" t="inlineStr">
        <is>
          <t>Seed</t>
        </is>
      </c>
      <c r="CA74" s="217" t="inlineStr">
        <is>
          <t/>
        </is>
      </c>
      <c r="CB74" s="218" t="inlineStr">
        <is>
          <t>Venture Capital</t>
        </is>
      </c>
      <c r="CC74" s="219" t="inlineStr">
        <is>
          <t/>
        </is>
      </c>
      <c r="CD74" s="220" t="inlineStr">
        <is>
          <t/>
        </is>
      </c>
      <c r="CE74" s="221" t="inlineStr">
        <is>
          <t/>
        </is>
      </c>
      <c r="CF74" s="222" t="inlineStr">
        <is>
          <t>Completed</t>
        </is>
      </c>
      <c r="CG74" s="223" t="inlineStr">
        <is>
          <t>1,59%</t>
        </is>
      </c>
      <c r="CH74" s="224" t="inlineStr">
        <is>
          <t>97</t>
        </is>
      </c>
      <c r="CI74" s="225" t="inlineStr">
        <is>
          <t>0,30%</t>
        </is>
      </c>
      <c r="CJ74" s="226" t="inlineStr">
        <is>
          <t>23,17%</t>
        </is>
      </c>
      <c r="CK74" s="227" t="inlineStr">
        <is>
          <t>0,00%</t>
        </is>
      </c>
      <c r="CL74" s="228" t="inlineStr">
        <is>
          <t>28</t>
        </is>
      </c>
      <c r="CM74" s="229" t="inlineStr">
        <is>
          <t>0,90%</t>
        </is>
      </c>
      <c r="CN74" s="230" t="inlineStr">
        <is>
          <t>95</t>
        </is>
      </c>
      <c r="CO74" s="231" t="inlineStr">
        <is>
          <t>0,00%</t>
        </is>
      </c>
      <c r="CP74" s="232" t="inlineStr">
        <is>
          <t>37</t>
        </is>
      </c>
      <c r="CQ74" s="233" t="inlineStr">
        <is>
          <t>0,00%</t>
        </is>
      </c>
      <c r="CR74" s="234" t="inlineStr">
        <is>
          <t>20</t>
        </is>
      </c>
      <c r="CS74" s="235" t="inlineStr">
        <is>
          <t>0,00%</t>
        </is>
      </c>
      <c r="CT74" s="236" t="inlineStr">
        <is>
          <t>18</t>
        </is>
      </c>
      <c r="CU74" s="237" t="inlineStr">
        <is>
          <t>1,79%</t>
        </is>
      </c>
      <c r="CV74" s="238" t="inlineStr">
        <is>
          <t>99</t>
        </is>
      </c>
      <c r="CW74" s="239" t="inlineStr">
        <is>
          <t>0,26x</t>
        </is>
      </c>
      <c r="CX74" s="240" t="inlineStr">
        <is>
          <t>20</t>
        </is>
      </c>
      <c r="CY74" s="241" t="inlineStr">
        <is>
          <t>0,12x</t>
        </is>
      </c>
      <c r="CZ74" s="242" t="inlineStr">
        <is>
          <t>81,40%</t>
        </is>
      </c>
      <c r="DA74" s="243" t="inlineStr">
        <is>
          <t>0,39x</t>
        </is>
      </c>
      <c r="DB74" s="244" t="inlineStr">
        <is>
          <t>29</t>
        </is>
      </c>
      <c r="DC74" s="245" t="inlineStr">
        <is>
          <t>0,38x</t>
        </is>
      </c>
      <c r="DD74" s="246" t="inlineStr">
        <is>
          <t>31</t>
        </is>
      </c>
      <c r="DE74" s="247" t="inlineStr">
        <is>
          <t>0,25x</t>
        </is>
      </c>
      <c r="DF74" s="248" t="inlineStr">
        <is>
          <t>18</t>
        </is>
      </c>
      <c r="DG74" s="249" t="inlineStr">
        <is>
          <t>0,53x</t>
        </is>
      </c>
      <c r="DH74" s="250" t="inlineStr">
        <is>
          <t>37</t>
        </is>
      </c>
      <c r="DI74" s="251" t="inlineStr">
        <is>
          <t>0,02x</t>
        </is>
      </c>
      <c r="DJ74" s="252" t="inlineStr">
        <is>
          <t>4</t>
        </is>
      </c>
      <c r="DK74" s="253" t="inlineStr">
        <is>
          <t>0,74x</t>
        </is>
      </c>
      <c r="DL74" s="254" t="inlineStr">
        <is>
          <t>45</t>
        </is>
      </c>
      <c r="DM74" s="255" t="inlineStr">
        <is>
          <t>104</t>
        </is>
      </c>
      <c r="DN74" s="256" t="inlineStr">
        <is>
          <t>-40</t>
        </is>
      </c>
      <c r="DO74" s="257" t="inlineStr">
        <is>
          <t>-27,78%</t>
        </is>
      </c>
      <c r="DP74" s="258" t="inlineStr">
        <is>
          <t>18</t>
        </is>
      </c>
      <c r="DQ74" s="259" t="inlineStr">
        <is>
          <t>1</t>
        </is>
      </c>
      <c r="DR74" s="260" t="inlineStr">
        <is>
          <t>5,88%</t>
        </is>
      </c>
      <c r="DS74" s="261" t="inlineStr">
        <is>
          <t>19</t>
        </is>
      </c>
      <c r="DT74" s="262" t="inlineStr">
        <is>
          <t>0</t>
        </is>
      </c>
      <c r="DU74" s="263" t="inlineStr">
        <is>
          <t>0,00%</t>
        </is>
      </c>
      <c r="DV74" s="264" t="inlineStr">
        <is>
          <t>274</t>
        </is>
      </c>
      <c r="DW74" s="265" t="inlineStr">
        <is>
          <t>3</t>
        </is>
      </c>
      <c r="DX74" s="266" t="inlineStr">
        <is>
          <t>1,11%</t>
        </is>
      </c>
      <c r="DY74" s="267" t="inlineStr">
        <is>
          <t>PitchBook Research</t>
        </is>
      </c>
      <c r="DZ74" s="786">
        <f>HYPERLINK("https://my.pitchbook.com?c=181257-40", "View company online")</f>
      </c>
    </row>
    <row r="75">
      <c r="A75" s="9" t="inlineStr">
        <is>
          <t>184860-55</t>
        </is>
      </c>
      <c r="B75" s="10" t="inlineStr">
        <is>
          <t>HireSweet</t>
        </is>
      </c>
      <c r="C75" s="11" t="inlineStr">
        <is>
          <t/>
        </is>
      </c>
      <c r="D75" s="12" t="inlineStr">
        <is>
          <t/>
        </is>
      </c>
      <c r="E75" s="13" t="inlineStr">
        <is>
          <t>184860-55</t>
        </is>
      </c>
      <c r="F75" s="14" t="inlineStr">
        <is>
          <t>Developer of Saas based artificial intelligence tool designed to improve the recruitment of developers and designers for companies. The company's platform provides an access to a daily tailored selection, enabling companies to automate hiring process.</t>
        </is>
      </c>
      <c r="G75" s="15" t="inlineStr">
        <is>
          <t>Business Products and Services (B2B)</t>
        </is>
      </c>
      <c r="H75" s="16" t="inlineStr">
        <is>
          <t>Commercial Services</t>
        </is>
      </c>
      <c r="I75" s="17" t="inlineStr">
        <is>
          <t>Human Capital Services</t>
        </is>
      </c>
      <c r="J75" s="18" t="inlineStr">
        <is>
          <t>Human Capital Services*; Business/Productivity Software; Social/Platform Software</t>
        </is>
      </c>
      <c r="K75" s="19" t="inlineStr">
        <is>
          <t>Artificial Intelligence &amp; Machine Learning, SaaS</t>
        </is>
      </c>
      <c r="L75" s="20" t="inlineStr">
        <is>
          <t>Venture Capital-Backed</t>
        </is>
      </c>
      <c r="M75" s="21" t="n">
        <v>1.5</v>
      </c>
      <c r="N75" s="22" t="inlineStr">
        <is>
          <t>Generating Revenue</t>
        </is>
      </c>
      <c r="O75" s="23" t="inlineStr">
        <is>
          <t>Privately Held (backing)</t>
        </is>
      </c>
      <c r="P75" s="24" t="inlineStr">
        <is>
          <t>Venture Capital</t>
        </is>
      </c>
      <c r="Q75" s="25" t="inlineStr">
        <is>
          <t>hiresweet.com</t>
        </is>
      </c>
      <c r="R75" s="26" t="inlineStr">
        <is>
          <t/>
        </is>
      </c>
      <c r="S75" s="27" t="inlineStr">
        <is>
          <t/>
        </is>
      </c>
      <c r="T75" s="28" t="inlineStr">
        <is>
          <t/>
        </is>
      </c>
      <c r="U75" s="29" t="n">
        <v>2016.0</v>
      </c>
      <c r="V75" s="30" t="inlineStr">
        <is>
          <t/>
        </is>
      </c>
      <c r="W75" s="31" t="inlineStr">
        <is>
          <t/>
        </is>
      </c>
      <c r="X75" s="32" t="inlineStr">
        <is>
          <t/>
        </is>
      </c>
      <c r="Y75" s="33" t="inlineStr">
        <is>
          <t/>
        </is>
      </c>
      <c r="Z75" s="34" t="inlineStr">
        <is>
          <t/>
        </is>
      </c>
      <c r="AA75" s="35" t="inlineStr">
        <is>
          <t/>
        </is>
      </c>
      <c r="AB75" s="36" t="inlineStr">
        <is>
          <t/>
        </is>
      </c>
      <c r="AC75" s="37" t="inlineStr">
        <is>
          <t/>
        </is>
      </c>
      <c r="AD75" s="38" t="inlineStr">
        <is>
          <t/>
        </is>
      </c>
      <c r="AE75" s="39" t="inlineStr">
        <is>
          <t>173737-18P</t>
        </is>
      </c>
      <c r="AF75" s="40" t="inlineStr">
        <is>
          <t>Robin Choy</t>
        </is>
      </c>
      <c r="AG75" s="41" t="inlineStr">
        <is>
          <t>Chief Executive Officer &amp; Co-Founder</t>
        </is>
      </c>
      <c r="AH75" s="42" t="inlineStr">
        <is>
          <t>robin@hiresweet.com</t>
        </is>
      </c>
      <c r="AI75" s="43" t="inlineStr">
        <is>
          <t/>
        </is>
      </c>
      <c r="AJ75" s="44" t="inlineStr">
        <is>
          <t>Paris, France</t>
        </is>
      </c>
      <c r="AK75" s="45" t="inlineStr">
        <is>
          <t>96bis Boulevard Raspail</t>
        </is>
      </c>
      <c r="AL75" s="46" t="inlineStr">
        <is>
          <t/>
        </is>
      </c>
      <c r="AM75" s="47" t="inlineStr">
        <is>
          <t>Paris</t>
        </is>
      </c>
      <c r="AN75" s="48" t="inlineStr">
        <is>
          <t/>
        </is>
      </c>
      <c r="AO75" s="49" t="inlineStr">
        <is>
          <t>75006</t>
        </is>
      </c>
      <c r="AP75" s="50" t="inlineStr">
        <is>
          <t>France</t>
        </is>
      </c>
      <c r="AQ75" s="51" t="inlineStr">
        <is>
          <t/>
        </is>
      </c>
      <c r="AR75" s="52" t="inlineStr">
        <is>
          <t/>
        </is>
      </c>
      <c r="AS75" s="53" t="inlineStr">
        <is>
          <t>contact@hiresweet.com</t>
        </is>
      </c>
      <c r="AT75" s="54" t="inlineStr">
        <is>
          <t>Europe</t>
        </is>
      </c>
      <c r="AU75" s="55" t="inlineStr">
        <is>
          <t>Western Europe</t>
        </is>
      </c>
      <c r="AV75" s="56" t="inlineStr">
        <is>
          <t>The company raised EUR 1.5 million of venture funding from Global Founders Capital, Kima Ventures and Bpifrance on October 24, 2017. TheFamily, David Bizer, Yannis Yahiaoui and Yves Weisselberger also participated in this round. The funding will be used to invest in R &amp; D to improve its artificial intelligence technology and to recruit engineers.</t>
        </is>
      </c>
      <c r="AW75" s="57" t="inlineStr">
        <is>
          <t>Agoranov, Bpifrance, David Bizer, Global Founders Capital, HEC Incubator, Kima Ventures, TheFamily, Yannis Yahiaoui, Yves Weisselberger</t>
        </is>
      </c>
      <c r="AX75" s="58" t="n">
        <v>9.0</v>
      </c>
      <c r="AY75" s="59" t="inlineStr">
        <is>
          <t/>
        </is>
      </c>
      <c r="AZ75" s="60" t="inlineStr">
        <is>
          <t/>
        </is>
      </c>
      <c r="BA75" s="61" t="inlineStr">
        <is>
          <t/>
        </is>
      </c>
      <c r="BB75" s="62" t="inlineStr">
        <is>
          <t>Agoranov (www.agoranov.com), Bpifrance (www.bpifrance.fr), Global Founders Capital (www.globalfounders.vc), HEC Incubator (entrepreneurship-center.hec.edu), Kima Ventures (www.kimaventures.com), TheFamily (www.thefamily.co)</t>
        </is>
      </c>
      <c r="BC75" s="63" t="inlineStr">
        <is>
          <t/>
        </is>
      </c>
      <c r="BD75" s="64" t="inlineStr">
        <is>
          <t/>
        </is>
      </c>
      <c r="BE75" s="65" t="inlineStr">
        <is>
          <t/>
        </is>
      </c>
      <c r="BF75" s="66" t="inlineStr">
        <is>
          <t/>
        </is>
      </c>
      <c r="BG75" s="67" t="inlineStr">
        <is>
          <t/>
        </is>
      </c>
      <c r="BH75" s="68" t="inlineStr">
        <is>
          <t/>
        </is>
      </c>
      <c r="BI75" s="69" t="inlineStr">
        <is>
          <t/>
        </is>
      </c>
      <c r="BJ75" s="70" t="inlineStr">
        <is>
          <t/>
        </is>
      </c>
      <c r="BK75" s="71" t="inlineStr">
        <is>
          <t/>
        </is>
      </c>
      <c r="BL75" s="72" t="inlineStr">
        <is>
          <t>Accelerator/Incubator</t>
        </is>
      </c>
      <c r="BM75" s="73" t="inlineStr">
        <is>
          <t/>
        </is>
      </c>
      <c r="BN75" s="74" t="inlineStr">
        <is>
          <t/>
        </is>
      </c>
      <c r="BO75" s="75" t="inlineStr">
        <is>
          <t>Other</t>
        </is>
      </c>
      <c r="BP75" s="76" t="inlineStr">
        <is>
          <t/>
        </is>
      </c>
      <c r="BQ75" s="77" t="inlineStr">
        <is>
          <t/>
        </is>
      </c>
      <c r="BR75" s="78" t="inlineStr">
        <is>
          <t/>
        </is>
      </c>
      <c r="BS75" s="79" t="inlineStr">
        <is>
          <t>Completed</t>
        </is>
      </c>
      <c r="BT75" s="80" t="n">
        <v>43032.0</v>
      </c>
      <c r="BU75" s="81" t="n">
        <v>1.5</v>
      </c>
      <c r="BV75" s="82" t="inlineStr">
        <is>
          <t>Actual</t>
        </is>
      </c>
      <c r="BW75" s="83" t="inlineStr">
        <is>
          <t/>
        </is>
      </c>
      <c r="BX75" s="84" t="inlineStr">
        <is>
          <t/>
        </is>
      </c>
      <c r="BY75" s="85" t="inlineStr">
        <is>
          <t>Early Stage VC</t>
        </is>
      </c>
      <c r="BZ75" s="86" t="inlineStr">
        <is>
          <t/>
        </is>
      </c>
      <c r="CA75" s="87" t="inlineStr">
        <is>
          <t/>
        </is>
      </c>
      <c r="CB75" s="88" t="inlineStr">
        <is>
          <t>Venture Capital</t>
        </is>
      </c>
      <c r="CC75" s="89" t="inlineStr">
        <is>
          <t/>
        </is>
      </c>
      <c r="CD75" s="90" t="inlineStr">
        <is>
          <t/>
        </is>
      </c>
      <c r="CE75" s="91" t="inlineStr">
        <is>
          <t/>
        </is>
      </c>
      <c r="CF75" s="92" t="inlineStr">
        <is>
          <t>Completed</t>
        </is>
      </c>
      <c r="CG75" s="93" t="inlineStr">
        <is>
          <t>0,00%</t>
        </is>
      </c>
      <c r="CH75" s="94" t="inlineStr">
        <is>
          <t>33</t>
        </is>
      </c>
      <c r="CI75" s="95" t="inlineStr">
        <is>
          <t>0,00%</t>
        </is>
      </c>
      <c r="CJ75" s="96" t="inlineStr">
        <is>
          <t>0,00%</t>
        </is>
      </c>
      <c r="CK75" s="97" t="inlineStr">
        <is>
          <t>0,00%</t>
        </is>
      </c>
      <c r="CL75" s="98" t="inlineStr">
        <is>
          <t>28</t>
        </is>
      </c>
      <c r="CM75" s="99" t="inlineStr">
        <is>
          <t/>
        </is>
      </c>
      <c r="CN75" s="100" t="inlineStr">
        <is>
          <t/>
        </is>
      </c>
      <c r="CO75" s="101" t="inlineStr">
        <is>
          <t/>
        </is>
      </c>
      <c r="CP75" s="102" t="inlineStr">
        <is>
          <t/>
        </is>
      </c>
      <c r="CQ75" s="103" t="inlineStr">
        <is>
          <t>0,00%</t>
        </is>
      </c>
      <c r="CR75" s="104" t="inlineStr">
        <is>
          <t>20</t>
        </is>
      </c>
      <c r="CS75" s="105" t="inlineStr">
        <is>
          <t/>
        </is>
      </c>
      <c r="CT75" s="106" t="inlineStr">
        <is>
          <t/>
        </is>
      </c>
      <c r="CU75" s="107" t="inlineStr">
        <is>
          <t/>
        </is>
      </c>
      <c r="CV75" s="108" t="inlineStr">
        <is>
          <t/>
        </is>
      </c>
      <c r="CW75" s="109" t="inlineStr">
        <is>
          <t>0,31x</t>
        </is>
      </c>
      <c r="CX75" s="110" t="inlineStr">
        <is>
          <t>23</t>
        </is>
      </c>
      <c r="CY75" s="111" t="inlineStr">
        <is>
          <t>0,00x</t>
        </is>
      </c>
      <c r="CZ75" s="112" t="inlineStr">
        <is>
          <t>0,00%</t>
        </is>
      </c>
      <c r="DA75" s="113" t="inlineStr">
        <is>
          <t>0,31x</t>
        </is>
      </c>
      <c r="DB75" s="114" t="inlineStr">
        <is>
          <t>24</t>
        </is>
      </c>
      <c r="DC75" s="115" t="inlineStr">
        <is>
          <t/>
        </is>
      </c>
      <c r="DD75" s="116" t="inlineStr">
        <is>
          <t/>
        </is>
      </c>
      <c r="DE75" s="117" t="inlineStr">
        <is>
          <t/>
        </is>
      </c>
      <c r="DF75" s="118" t="inlineStr">
        <is>
          <t/>
        </is>
      </c>
      <c r="DG75" s="119" t="inlineStr">
        <is>
          <t>0,31x</t>
        </is>
      </c>
      <c r="DH75" s="120" t="inlineStr">
        <is>
          <t>26</t>
        </is>
      </c>
      <c r="DI75" s="121" t="inlineStr">
        <is>
          <t/>
        </is>
      </c>
      <c r="DJ75" s="122" t="inlineStr">
        <is>
          <t/>
        </is>
      </c>
      <c r="DK75" s="123" t="inlineStr">
        <is>
          <t/>
        </is>
      </c>
      <c r="DL75" s="124" t="inlineStr">
        <is>
          <t/>
        </is>
      </c>
      <c r="DM75" s="125" t="inlineStr">
        <is>
          <t/>
        </is>
      </c>
      <c r="DN75" s="126" t="inlineStr">
        <is>
          <t/>
        </is>
      </c>
      <c r="DO75" s="127" t="inlineStr">
        <is>
          <t/>
        </is>
      </c>
      <c r="DP75" s="128" t="inlineStr">
        <is>
          <t>196</t>
        </is>
      </c>
      <c r="DQ75" s="129" t="inlineStr">
        <is>
          <t>4</t>
        </is>
      </c>
      <c r="DR75" s="130" t="inlineStr">
        <is>
          <t>2,08%</t>
        </is>
      </c>
      <c r="DS75" s="131" t="inlineStr">
        <is>
          <t>11</t>
        </is>
      </c>
      <c r="DT75" s="132" t="inlineStr">
        <is>
          <t>1</t>
        </is>
      </c>
      <c r="DU75" s="133" t="inlineStr">
        <is>
          <t>10,00%</t>
        </is>
      </c>
      <c r="DV75" s="134" t="inlineStr">
        <is>
          <t>1.650</t>
        </is>
      </c>
      <c r="DW75" s="135" t="inlineStr">
        <is>
          <t>-2</t>
        </is>
      </c>
      <c r="DX75" s="136" t="inlineStr">
        <is>
          <t>-0,12%</t>
        </is>
      </c>
      <c r="DY75" s="137" t="inlineStr">
        <is>
          <t>PitchBook Research</t>
        </is>
      </c>
      <c r="DZ75" s="785">
        <f>HYPERLINK("https://my.pitchbook.com?c=184860-55", "View company online")</f>
      </c>
    </row>
    <row r="76">
      <c r="A76" s="139" t="inlineStr">
        <is>
          <t>221436-28</t>
        </is>
      </c>
      <c r="B76" s="140" t="inlineStr">
        <is>
          <t>Arkite</t>
        </is>
      </c>
      <c r="C76" s="141" t="inlineStr">
        <is>
          <t/>
        </is>
      </c>
      <c r="D76" s="142" t="inlineStr">
        <is>
          <t>Human Interface Mate, HIM</t>
        </is>
      </c>
      <c r="E76" s="143" t="inlineStr">
        <is>
          <t>221436-28</t>
        </is>
      </c>
      <c r="F76" s="144" t="inlineStr">
        <is>
          <t>Manufacturers of 3D sensors designed to track the actions of an employee in the manufacturing industry. The company's manufacturing hardware Human Interface Mate (HIM), uses augmented reality to assist production operators in complex tasks and offers confirmations of the actions performed by operators over the system, enabling manufacturing operators to reduce the cost of poor quality, increases work efficiency by reducing control operations and creates the possibility for a two way information with the rest of the plant.</t>
        </is>
      </c>
      <c r="G76" s="145" t="inlineStr">
        <is>
          <t>Information Technology</t>
        </is>
      </c>
      <c r="H76" s="146" t="inlineStr">
        <is>
          <t>Computer Hardware</t>
        </is>
      </c>
      <c r="I76" s="147" t="inlineStr">
        <is>
          <t>Other Hardware</t>
        </is>
      </c>
      <c r="J76" s="148" t="inlineStr">
        <is>
          <t>Other Hardware*; Business/Productivity Software</t>
        </is>
      </c>
      <c r="K76" s="149" t="inlineStr">
        <is>
          <t>Internet of Things, Manufacturing</t>
        </is>
      </c>
      <c r="L76" s="150" t="inlineStr">
        <is>
          <t>Venture Capital-Backed</t>
        </is>
      </c>
      <c r="M76" s="151" t="n">
        <v>1.6</v>
      </c>
      <c r="N76" s="152" t="inlineStr">
        <is>
          <t>Generating Revenue</t>
        </is>
      </c>
      <c r="O76" s="153" t="inlineStr">
        <is>
          <t>Privately Held (backing)</t>
        </is>
      </c>
      <c r="P76" s="154" t="inlineStr">
        <is>
          <t>Venture Capital</t>
        </is>
      </c>
      <c r="Q76" s="155" t="inlineStr">
        <is>
          <t>www.arkite.be</t>
        </is>
      </c>
      <c r="R76" s="156" t="n">
        <v>15.0</v>
      </c>
      <c r="S76" s="157" t="inlineStr">
        <is>
          <t/>
        </is>
      </c>
      <c r="T76" s="158" t="inlineStr">
        <is>
          <t/>
        </is>
      </c>
      <c r="U76" s="159" t="n">
        <v>2015.0</v>
      </c>
      <c r="V76" s="160" t="inlineStr">
        <is>
          <t/>
        </is>
      </c>
      <c r="W76" s="161" t="inlineStr">
        <is>
          <t/>
        </is>
      </c>
      <c r="X76" s="162" t="inlineStr">
        <is>
          <t/>
        </is>
      </c>
      <c r="Y76" s="163" t="inlineStr">
        <is>
          <t/>
        </is>
      </c>
      <c r="Z76" s="164" t="inlineStr">
        <is>
          <t/>
        </is>
      </c>
      <c r="AA76" s="165" t="inlineStr">
        <is>
          <t/>
        </is>
      </c>
      <c r="AB76" s="166" t="inlineStr">
        <is>
          <t/>
        </is>
      </c>
      <c r="AC76" s="167" t="inlineStr">
        <is>
          <t/>
        </is>
      </c>
      <c r="AD76" s="168" t="inlineStr">
        <is>
          <t/>
        </is>
      </c>
      <c r="AE76" s="169" t="inlineStr">
        <is>
          <t>172699-93P</t>
        </is>
      </c>
      <c r="AF76" s="170" t="inlineStr">
        <is>
          <t>Ives De Saeger</t>
        </is>
      </c>
      <c r="AG76" s="171" t="inlineStr">
        <is>
          <t>Co-Chief Executive Officer &amp; Co-Founder</t>
        </is>
      </c>
      <c r="AH76" s="172" t="inlineStr">
        <is>
          <t/>
        </is>
      </c>
      <c r="AI76" s="173" t="inlineStr">
        <is>
          <t>+32 (0)8 920 17 45</t>
        </is>
      </c>
      <c r="AJ76" s="174" t="inlineStr">
        <is>
          <t>Hemiksem, Belgium</t>
        </is>
      </c>
      <c r="AK76" s="175" t="inlineStr">
        <is>
          <t>Frans Blocklaan 14</t>
        </is>
      </c>
      <c r="AL76" s="176" t="inlineStr">
        <is>
          <t/>
        </is>
      </c>
      <c r="AM76" s="177" t="inlineStr">
        <is>
          <t>Hemiksem</t>
        </is>
      </c>
      <c r="AN76" s="178" t="inlineStr">
        <is>
          <t/>
        </is>
      </c>
      <c r="AO76" s="179" t="inlineStr">
        <is>
          <t>2620</t>
        </is>
      </c>
      <c r="AP76" s="180" t="inlineStr">
        <is>
          <t>Belgium</t>
        </is>
      </c>
      <c r="AQ76" s="181" t="inlineStr">
        <is>
          <t>+32 (0)8 920 17 45</t>
        </is>
      </c>
      <c r="AR76" s="182" t="inlineStr">
        <is>
          <t/>
        </is>
      </c>
      <c r="AS76" s="183" t="inlineStr">
        <is>
          <t>info@arkite.be</t>
        </is>
      </c>
      <c r="AT76" s="184" t="inlineStr">
        <is>
          <t>Europe</t>
        </is>
      </c>
      <c r="AU76" s="185" t="inlineStr">
        <is>
          <t>Western Europe</t>
        </is>
      </c>
      <c r="AV76" s="186" t="inlineStr">
        <is>
          <t>The company raised EUR 1.6 million of venture funding led by Capricorn Venture Partners on October 16, 2017. Other undisclosed investors also participated in this round. The proceeds will allow Arkite to reach its ambitious targets for 2018 and to further expand in Europe.</t>
        </is>
      </c>
      <c r="AW76" s="187" t="inlineStr">
        <is>
          <t>Capricorn Venture Partners, C-mine crib</t>
        </is>
      </c>
      <c r="AX76" s="188" t="n">
        <v>2.0</v>
      </c>
      <c r="AY76" s="189" t="inlineStr">
        <is>
          <t/>
        </is>
      </c>
      <c r="AZ76" s="190" t="inlineStr">
        <is>
          <t/>
        </is>
      </c>
      <c r="BA76" s="191" t="inlineStr">
        <is>
          <t/>
        </is>
      </c>
      <c r="BB76" s="192" t="inlineStr">
        <is>
          <t>Capricorn Venture Partners (www.capricorn.be), C-mine crib (cmine.onlinesmartcities.be)</t>
        </is>
      </c>
      <c r="BC76" s="193" t="inlineStr">
        <is>
          <t/>
        </is>
      </c>
      <c r="BD76" s="194" t="inlineStr">
        <is>
          <t/>
        </is>
      </c>
      <c r="BE76" s="195" t="inlineStr">
        <is>
          <t/>
        </is>
      </c>
      <c r="BF76" s="196" t="inlineStr">
        <is>
          <t/>
        </is>
      </c>
      <c r="BG76" s="197" t="inlineStr">
        <is>
          <t/>
        </is>
      </c>
      <c r="BH76" s="198" t="inlineStr">
        <is>
          <t/>
        </is>
      </c>
      <c r="BI76" s="199" t="inlineStr">
        <is>
          <t/>
        </is>
      </c>
      <c r="BJ76" s="200" t="inlineStr">
        <is>
          <t/>
        </is>
      </c>
      <c r="BK76" s="201" t="inlineStr">
        <is>
          <t/>
        </is>
      </c>
      <c r="BL76" s="202" t="inlineStr">
        <is>
          <t>Accelerator/Incubator</t>
        </is>
      </c>
      <c r="BM76" s="203" t="inlineStr">
        <is>
          <t/>
        </is>
      </c>
      <c r="BN76" s="204" t="inlineStr">
        <is>
          <t/>
        </is>
      </c>
      <c r="BO76" s="205" t="inlineStr">
        <is>
          <t>Other</t>
        </is>
      </c>
      <c r="BP76" s="206" t="inlineStr">
        <is>
          <t/>
        </is>
      </c>
      <c r="BQ76" s="207" t="inlineStr">
        <is>
          <t/>
        </is>
      </c>
      <c r="BR76" s="208" t="inlineStr">
        <is>
          <t/>
        </is>
      </c>
      <c r="BS76" s="209" t="inlineStr">
        <is>
          <t>Completed</t>
        </is>
      </c>
      <c r="BT76" s="210" t="n">
        <v>43024.0</v>
      </c>
      <c r="BU76" s="211" t="n">
        <v>1.6</v>
      </c>
      <c r="BV76" s="212" t="inlineStr">
        <is>
          <t>Actual</t>
        </is>
      </c>
      <c r="BW76" s="213" t="inlineStr">
        <is>
          <t/>
        </is>
      </c>
      <c r="BX76" s="214" t="inlineStr">
        <is>
          <t/>
        </is>
      </c>
      <c r="BY76" s="215" t="inlineStr">
        <is>
          <t>Early Stage VC</t>
        </is>
      </c>
      <c r="BZ76" s="216" t="inlineStr">
        <is>
          <t/>
        </is>
      </c>
      <c r="CA76" s="217" t="inlineStr">
        <is>
          <t/>
        </is>
      </c>
      <c r="CB76" s="218" t="inlineStr">
        <is>
          <t>Venture Capital</t>
        </is>
      </c>
      <c r="CC76" s="219" t="inlineStr">
        <is>
          <t/>
        </is>
      </c>
      <c r="CD76" s="220" t="inlineStr">
        <is>
          <t/>
        </is>
      </c>
      <c r="CE76" s="221" t="inlineStr">
        <is>
          <t/>
        </is>
      </c>
      <c r="CF76" s="222" t="inlineStr">
        <is>
          <t>Completed</t>
        </is>
      </c>
      <c r="CG76" s="223" t="inlineStr">
        <is>
          <t>0,16%</t>
        </is>
      </c>
      <c r="CH76" s="224" t="inlineStr">
        <is>
          <t>85</t>
        </is>
      </c>
      <c r="CI76" s="225" t="inlineStr">
        <is>
          <t/>
        </is>
      </c>
      <c r="CJ76" s="226" t="inlineStr">
        <is>
          <t/>
        </is>
      </c>
      <c r="CK76" s="227" t="inlineStr">
        <is>
          <t/>
        </is>
      </c>
      <c r="CL76" s="228" t="inlineStr">
        <is>
          <t/>
        </is>
      </c>
      <c r="CM76" s="229" t="inlineStr">
        <is>
          <t>0,16%</t>
        </is>
      </c>
      <c r="CN76" s="230" t="inlineStr">
        <is>
          <t>67</t>
        </is>
      </c>
      <c r="CO76" s="231" t="inlineStr">
        <is>
          <t/>
        </is>
      </c>
      <c r="CP76" s="232" t="inlineStr">
        <is>
          <t/>
        </is>
      </c>
      <c r="CQ76" s="233" t="inlineStr">
        <is>
          <t/>
        </is>
      </c>
      <c r="CR76" s="234" t="inlineStr">
        <is>
          <t/>
        </is>
      </c>
      <c r="CS76" s="235" t="inlineStr">
        <is>
          <t>0,16%</t>
        </is>
      </c>
      <c r="CT76" s="236" t="inlineStr">
        <is>
          <t>65</t>
        </is>
      </c>
      <c r="CU76" s="237" t="inlineStr">
        <is>
          <t/>
        </is>
      </c>
      <c r="CV76" s="238" t="inlineStr">
        <is>
          <t/>
        </is>
      </c>
      <c r="CW76" s="239" t="inlineStr">
        <is>
          <t>0,16x</t>
        </is>
      </c>
      <c r="CX76" s="240" t="inlineStr">
        <is>
          <t>13</t>
        </is>
      </c>
      <c r="CY76" s="241" t="inlineStr">
        <is>
          <t/>
        </is>
      </c>
      <c r="CZ76" s="242" t="inlineStr">
        <is>
          <t/>
        </is>
      </c>
      <c r="DA76" s="243" t="inlineStr">
        <is>
          <t/>
        </is>
      </c>
      <c r="DB76" s="244" t="inlineStr">
        <is>
          <t/>
        </is>
      </c>
      <c r="DC76" s="245" t="inlineStr">
        <is>
          <t>0,16x</t>
        </is>
      </c>
      <c r="DD76" s="246" t="inlineStr">
        <is>
          <t>18</t>
        </is>
      </c>
      <c r="DE76" s="247" t="inlineStr">
        <is>
          <t/>
        </is>
      </c>
      <c r="DF76" s="248" t="inlineStr">
        <is>
          <t/>
        </is>
      </c>
      <c r="DG76" s="249" t="inlineStr">
        <is>
          <t/>
        </is>
      </c>
      <c r="DH76" s="250" t="inlineStr">
        <is>
          <t/>
        </is>
      </c>
      <c r="DI76" s="251" t="inlineStr">
        <is>
          <t>0,16x</t>
        </is>
      </c>
      <c r="DJ76" s="252" t="inlineStr">
        <is>
          <t>20</t>
        </is>
      </c>
      <c r="DK76" s="253" t="inlineStr">
        <is>
          <t/>
        </is>
      </c>
      <c r="DL76" s="254" t="inlineStr">
        <is>
          <t/>
        </is>
      </c>
      <c r="DM76" s="255" t="inlineStr">
        <is>
          <t/>
        </is>
      </c>
      <c r="DN76" s="256" t="inlineStr">
        <is>
          <t/>
        </is>
      </c>
      <c r="DO76" s="257" t="inlineStr">
        <is>
          <t/>
        </is>
      </c>
      <c r="DP76" s="258" t="inlineStr">
        <is>
          <t>126</t>
        </is>
      </c>
      <c r="DQ76" s="259" t="inlineStr">
        <is>
          <t>0</t>
        </is>
      </c>
      <c r="DR76" s="260" t="inlineStr">
        <is>
          <t>0,00%</t>
        </is>
      </c>
      <c r="DS76" s="261" t="inlineStr">
        <is>
          <t>30</t>
        </is>
      </c>
      <c r="DT76" s="262" t="inlineStr">
        <is>
          <t>0</t>
        </is>
      </c>
      <c r="DU76" s="263" t="inlineStr">
        <is>
          <t>0,00%</t>
        </is>
      </c>
      <c r="DV76" s="264" t="inlineStr">
        <is>
          <t/>
        </is>
      </c>
      <c r="DW76" s="265" t="inlineStr">
        <is>
          <t/>
        </is>
      </c>
      <c r="DX76" s="266" t="inlineStr">
        <is>
          <t/>
        </is>
      </c>
      <c r="DY76" s="267" t="inlineStr">
        <is>
          <t>PitchBook Research</t>
        </is>
      </c>
      <c r="DZ76" s="786">
        <f>HYPERLINK("https://my.pitchbook.com?c=221436-28", "View company online")</f>
      </c>
    </row>
    <row r="77">
      <c r="A77" s="9" t="inlineStr">
        <is>
          <t>179084-80</t>
        </is>
      </c>
      <c r="B77" s="10" t="inlineStr">
        <is>
          <t>Epicstars</t>
        </is>
      </c>
      <c r="C77" s="11" t="inlineStr">
        <is>
          <t/>
        </is>
      </c>
      <c r="D77" s="12" t="inlineStr">
        <is>
          <t/>
        </is>
      </c>
      <c r="E77" s="13" t="inlineStr">
        <is>
          <t>179084-80</t>
        </is>
      </c>
      <c r="F77" s="14" t="inlineStr">
        <is>
          <t>Provider of an online marketing platform designed to be used for advertising in social networks of bloggers. The company's online marketing platform provides a space where advertisers can buy advertising from bloggers and bloggers can sell their advertisements as well as post them on social media sites, enabling businesses to drive traffic, increase brand awareness and strengthen the effect on the audience.</t>
        </is>
      </c>
      <c r="G77" s="15" t="inlineStr">
        <is>
          <t>Information Technology</t>
        </is>
      </c>
      <c r="H77" s="16" t="inlineStr">
        <is>
          <t>Software</t>
        </is>
      </c>
      <c r="I77" s="17" t="inlineStr">
        <is>
          <t>Business/Productivity Software</t>
        </is>
      </c>
      <c r="J77" s="18" t="inlineStr">
        <is>
          <t>Business/Productivity Software*; Media and Information Services (B2B); Multimedia and Design Software</t>
        </is>
      </c>
      <c r="K77" s="19" t="inlineStr">
        <is>
          <t>AdTech, Mobile</t>
        </is>
      </c>
      <c r="L77" s="20" t="inlineStr">
        <is>
          <t>Venture Capital-Backed</t>
        </is>
      </c>
      <c r="M77" s="21" t="n">
        <v>1.6</v>
      </c>
      <c r="N77" s="22" t="inlineStr">
        <is>
          <t>Startup</t>
        </is>
      </c>
      <c r="O77" s="23" t="inlineStr">
        <is>
          <t>Privately Held (backing)</t>
        </is>
      </c>
      <c r="P77" s="24" t="inlineStr">
        <is>
          <t>Venture Capital</t>
        </is>
      </c>
      <c r="Q77" s="25" t="inlineStr">
        <is>
          <t>ru.epicstars.com</t>
        </is>
      </c>
      <c r="R77" s="26" t="inlineStr">
        <is>
          <t/>
        </is>
      </c>
      <c r="S77" s="27" t="inlineStr">
        <is>
          <t/>
        </is>
      </c>
      <c r="T77" s="28" t="inlineStr">
        <is>
          <t/>
        </is>
      </c>
      <c r="U77" s="29" t="inlineStr">
        <is>
          <t/>
        </is>
      </c>
      <c r="V77" s="30" t="inlineStr">
        <is>
          <t/>
        </is>
      </c>
      <c r="W77" s="31" t="inlineStr">
        <is>
          <t/>
        </is>
      </c>
      <c r="X77" s="32" t="inlineStr">
        <is>
          <t/>
        </is>
      </c>
      <c r="Y77" s="33" t="inlineStr">
        <is>
          <t/>
        </is>
      </c>
      <c r="Z77" s="34" t="inlineStr">
        <is>
          <t/>
        </is>
      </c>
      <c r="AA77" s="35" t="inlineStr">
        <is>
          <t/>
        </is>
      </c>
      <c r="AB77" s="36" t="inlineStr">
        <is>
          <t/>
        </is>
      </c>
      <c r="AC77" s="37" t="inlineStr">
        <is>
          <t/>
        </is>
      </c>
      <c r="AD77" s="38" t="inlineStr">
        <is>
          <t/>
        </is>
      </c>
      <c r="AE77" s="39" t="inlineStr">
        <is>
          <t>159848-47P</t>
        </is>
      </c>
      <c r="AF77" s="40" t="inlineStr">
        <is>
          <t>Vladimir Mirolubov</t>
        </is>
      </c>
      <c r="AG77" s="41" t="inlineStr">
        <is>
          <t>General Manager</t>
        </is>
      </c>
      <c r="AH77" s="42" t="inlineStr">
        <is>
          <t/>
        </is>
      </c>
      <c r="AI77" s="43" t="inlineStr">
        <is>
          <t/>
        </is>
      </c>
      <c r="AJ77" s="44" t="inlineStr">
        <is>
          <t>Moscow, Russia</t>
        </is>
      </c>
      <c r="AK77" s="45" t="inlineStr">
        <is>
          <t>Butyrskaya ul., 62</t>
        </is>
      </c>
      <c r="AL77" s="46" t="inlineStr">
        <is>
          <t/>
        </is>
      </c>
      <c r="AM77" s="47" t="inlineStr">
        <is>
          <t>Moscow</t>
        </is>
      </c>
      <c r="AN77" s="48" t="inlineStr">
        <is>
          <t/>
        </is>
      </c>
      <c r="AO77" s="49" t="inlineStr">
        <is>
          <t>127015</t>
        </is>
      </c>
      <c r="AP77" s="50" t="inlineStr">
        <is>
          <t>Russia</t>
        </is>
      </c>
      <c r="AQ77" s="51" t="inlineStr">
        <is>
          <t/>
        </is>
      </c>
      <c r="AR77" s="52" t="inlineStr">
        <is>
          <t/>
        </is>
      </c>
      <c r="AS77" s="53" t="inlineStr">
        <is>
          <t>idea@epicstars.com</t>
        </is>
      </c>
      <c r="AT77" s="54" t="inlineStr">
        <is>
          <t>Europe</t>
        </is>
      </c>
      <c r="AU77" s="55" t="inlineStr">
        <is>
          <t>Eastern Europe</t>
        </is>
      </c>
      <c r="AV77" s="56" t="inlineStr">
        <is>
          <t>The company raised RUB 100 million of venture funding from Admitad Invest on September 22, 2017. The funds raised will be used to strengthen the Epicstars team, expand the analytical functionality of the online platform and prepare to enter the European advertising market.</t>
        </is>
      </c>
      <c r="AW77" s="57" t="inlineStr">
        <is>
          <t>AdmitAd Invest</t>
        </is>
      </c>
      <c r="AX77" s="58" t="n">
        <v>1.0</v>
      </c>
      <c r="AY77" s="59" t="inlineStr">
        <is>
          <t/>
        </is>
      </c>
      <c r="AZ77" s="60" t="inlineStr">
        <is>
          <t/>
        </is>
      </c>
      <c r="BA77" s="61" t="inlineStr">
        <is>
          <t/>
        </is>
      </c>
      <c r="BB77" s="62" t="inlineStr">
        <is>
          <t>AdmitAd Invest (www.invest.admitad.com)</t>
        </is>
      </c>
      <c r="BC77" s="63" t="inlineStr">
        <is>
          <t/>
        </is>
      </c>
      <c r="BD77" s="64" t="inlineStr">
        <is>
          <t/>
        </is>
      </c>
      <c r="BE77" s="65" t="inlineStr">
        <is>
          <t/>
        </is>
      </c>
      <c r="BF77" s="66" t="inlineStr">
        <is>
          <t/>
        </is>
      </c>
      <c r="BG77" s="67" t="n">
        <v>42705.0</v>
      </c>
      <c r="BH77" s="68" t="n">
        <v>0.14</v>
      </c>
      <c r="BI77" s="69" t="inlineStr">
        <is>
          <t>Actual</t>
        </is>
      </c>
      <c r="BJ77" s="70" t="inlineStr">
        <is>
          <t/>
        </is>
      </c>
      <c r="BK77" s="71" t="inlineStr">
        <is>
          <t/>
        </is>
      </c>
      <c r="BL77" s="72" t="inlineStr">
        <is>
          <t>Early Stage VC</t>
        </is>
      </c>
      <c r="BM77" s="73" t="inlineStr">
        <is>
          <t/>
        </is>
      </c>
      <c r="BN77" s="74" t="inlineStr">
        <is>
          <t/>
        </is>
      </c>
      <c r="BO77" s="75" t="inlineStr">
        <is>
          <t>Venture Capital</t>
        </is>
      </c>
      <c r="BP77" s="76" t="inlineStr">
        <is>
          <t/>
        </is>
      </c>
      <c r="BQ77" s="77" t="inlineStr">
        <is>
          <t/>
        </is>
      </c>
      <c r="BR77" s="78" t="inlineStr">
        <is>
          <t/>
        </is>
      </c>
      <c r="BS77" s="79" t="inlineStr">
        <is>
          <t>Completed</t>
        </is>
      </c>
      <c r="BT77" s="80" t="n">
        <v>43000.0</v>
      </c>
      <c r="BU77" s="81" t="n">
        <v>1.46</v>
      </c>
      <c r="BV77" s="82" t="inlineStr">
        <is>
          <t>Actual</t>
        </is>
      </c>
      <c r="BW77" s="83" t="inlineStr">
        <is>
          <t/>
        </is>
      </c>
      <c r="BX77" s="84" t="inlineStr">
        <is>
          <t/>
        </is>
      </c>
      <c r="BY77" s="85" t="inlineStr">
        <is>
          <t>Early Stage VC</t>
        </is>
      </c>
      <c r="BZ77" s="86" t="inlineStr">
        <is>
          <t/>
        </is>
      </c>
      <c r="CA77" s="87" t="inlineStr">
        <is>
          <t/>
        </is>
      </c>
      <c r="CB77" s="88" t="inlineStr">
        <is>
          <t>Venture Capital</t>
        </is>
      </c>
      <c r="CC77" s="89" t="inlineStr">
        <is>
          <t/>
        </is>
      </c>
      <c r="CD77" s="90" t="inlineStr">
        <is>
          <t/>
        </is>
      </c>
      <c r="CE77" s="91" t="inlineStr">
        <is>
          <t/>
        </is>
      </c>
      <c r="CF77" s="92" t="inlineStr">
        <is>
          <t>Completed</t>
        </is>
      </c>
      <c r="CG77" s="93" t="inlineStr">
        <is>
          <t>-13,20%</t>
        </is>
      </c>
      <c r="CH77" s="94" t="inlineStr">
        <is>
          <t>1</t>
        </is>
      </c>
      <c r="CI77" s="95" t="inlineStr">
        <is>
          <t>-0,09%</t>
        </is>
      </c>
      <c r="CJ77" s="96" t="inlineStr">
        <is>
          <t>-0,67%</t>
        </is>
      </c>
      <c r="CK77" s="97" t="inlineStr">
        <is>
          <t>-26,78%</t>
        </is>
      </c>
      <c r="CL77" s="98" t="inlineStr">
        <is>
          <t>1</t>
        </is>
      </c>
      <c r="CM77" s="99" t="inlineStr">
        <is>
          <t>0,38%</t>
        </is>
      </c>
      <c r="CN77" s="100" t="inlineStr">
        <is>
          <t>84</t>
        </is>
      </c>
      <c r="CO77" s="101" t="inlineStr">
        <is>
          <t>-26,78%</t>
        </is>
      </c>
      <c r="CP77" s="102" t="inlineStr">
        <is>
          <t>2</t>
        </is>
      </c>
      <c r="CQ77" s="103" t="inlineStr">
        <is>
          <t/>
        </is>
      </c>
      <c r="CR77" s="104" t="inlineStr">
        <is>
          <t/>
        </is>
      </c>
      <c r="CS77" s="105" t="inlineStr">
        <is>
          <t>0,64%</t>
        </is>
      </c>
      <c r="CT77" s="106" t="inlineStr">
        <is>
          <t>90</t>
        </is>
      </c>
      <c r="CU77" s="107" t="inlineStr">
        <is>
          <t>0,13%</t>
        </is>
      </c>
      <c r="CV77" s="108" t="inlineStr">
        <is>
          <t>70</t>
        </is>
      </c>
      <c r="CW77" s="109" t="inlineStr">
        <is>
          <t>1,24x</t>
        </is>
      </c>
      <c r="CX77" s="110" t="inlineStr">
        <is>
          <t>54</t>
        </is>
      </c>
      <c r="CY77" s="111" t="inlineStr">
        <is>
          <t>0,00x</t>
        </is>
      </c>
      <c r="CZ77" s="112" t="inlineStr">
        <is>
          <t>-0,14%</t>
        </is>
      </c>
      <c r="DA77" s="113" t="inlineStr">
        <is>
          <t>1,80x</t>
        </is>
      </c>
      <c r="DB77" s="114" t="inlineStr">
        <is>
          <t>64</t>
        </is>
      </c>
      <c r="DC77" s="115" t="inlineStr">
        <is>
          <t>0,69x</t>
        </is>
      </c>
      <c r="DD77" s="116" t="inlineStr">
        <is>
          <t>41</t>
        </is>
      </c>
      <c r="DE77" s="117" t="inlineStr">
        <is>
          <t>1,80x</t>
        </is>
      </c>
      <c r="DF77" s="118" t="inlineStr">
        <is>
          <t>64</t>
        </is>
      </c>
      <c r="DG77" s="119" t="inlineStr">
        <is>
          <t/>
        </is>
      </c>
      <c r="DH77" s="120" t="inlineStr">
        <is>
          <t/>
        </is>
      </c>
      <c r="DI77" s="121" t="inlineStr">
        <is>
          <t>0,59x</t>
        </is>
      </c>
      <c r="DJ77" s="122" t="inlineStr">
        <is>
          <t>41</t>
        </is>
      </c>
      <c r="DK77" s="123" t="inlineStr">
        <is>
          <t>0,78x</t>
        </is>
      </c>
      <c r="DL77" s="124" t="inlineStr">
        <is>
          <t>46</t>
        </is>
      </c>
      <c r="DM77" s="125" t="inlineStr">
        <is>
          <t>680</t>
        </is>
      </c>
      <c r="DN77" s="126" t="inlineStr">
        <is>
          <t>-68</t>
        </is>
      </c>
      <c r="DO77" s="127" t="inlineStr">
        <is>
          <t>-9,09%</t>
        </is>
      </c>
      <c r="DP77" s="128" t="inlineStr">
        <is>
          <t>465</t>
        </is>
      </c>
      <c r="DQ77" s="129" t="inlineStr">
        <is>
          <t>6</t>
        </is>
      </c>
      <c r="DR77" s="130" t="inlineStr">
        <is>
          <t>1,31%</t>
        </is>
      </c>
      <c r="DS77" s="131" t="inlineStr">
        <is>
          <t/>
        </is>
      </c>
      <c r="DT77" s="132" t="inlineStr">
        <is>
          <t/>
        </is>
      </c>
      <c r="DU77" s="133" t="inlineStr">
        <is>
          <t/>
        </is>
      </c>
      <c r="DV77" s="134" t="inlineStr">
        <is>
          <t>293</t>
        </is>
      </c>
      <c r="DW77" s="135" t="inlineStr">
        <is>
          <t>1</t>
        </is>
      </c>
      <c r="DX77" s="136" t="inlineStr">
        <is>
          <t>0,34%</t>
        </is>
      </c>
      <c r="DY77" s="137" t="inlineStr">
        <is>
          <t>PitchBook Research</t>
        </is>
      </c>
      <c r="DZ77" s="785">
        <f>HYPERLINK("https://my.pitchbook.com?c=179084-80", "View company online")</f>
      </c>
    </row>
    <row r="78">
      <c r="A78" s="139" t="inlineStr">
        <is>
          <t>174169-99</t>
        </is>
      </c>
      <c r="B78" s="140" t="inlineStr">
        <is>
          <t>No Agent</t>
        </is>
      </c>
      <c r="C78" s="141" t="inlineStr">
        <is>
          <t/>
        </is>
      </c>
      <c r="D78" s="142" t="inlineStr">
        <is>
          <t/>
        </is>
      </c>
      <c r="E78" s="143" t="inlineStr">
        <is>
          <t>174169-99</t>
        </is>
      </c>
      <c r="F78" s="144" t="inlineStr">
        <is>
          <t>Developer of a cloud based property management platform designed to simplify the process of renting and managing a property. The company's platform provides a list of property, landlord portfolio, rent collection service, credit checks reference and contract and compliance and advice service related to a property, enabling landlords to find tenants and manage their rental property professionally and thus increase their overall returns in a simpler and flexible way and tenants to find a property as per their requirement at an affordable price.</t>
        </is>
      </c>
      <c r="G78" s="145" t="inlineStr">
        <is>
          <t>Information Technology</t>
        </is>
      </c>
      <c r="H78" s="146" t="inlineStr">
        <is>
          <t>Software</t>
        </is>
      </c>
      <c r="I78" s="147" t="inlineStr">
        <is>
          <t>Business/Productivity Software</t>
        </is>
      </c>
      <c r="J78" s="148" t="inlineStr">
        <is>
          <t>Business/Productivity Software*; Real Estate Services (B2C); Social/Platform Software</t>
        </is>
      </c>
      <c r="K78" s="149" t="inlineStr">
        <is>
          <t>SaaS</t>
        </is>
      </c>
      <c r="L78" s="150" t="inlineStr">
        <is>
          <t>Angel-Backed</t>
        </is>
      </c>
      <c r="M78" s="151" t="n">
        <v>1.63</v>
      </c>
      <c r="N78" s="152" t="inlineStr">
        <is>
          <t>Generating Revenue</t>
        </is>
      </c>
      <c r="O78" s="153" t="inlineStr">
        <is>
          <t>Privately Held (backing)</t>
        </is>
      </c>
      <c r="P78" s="154" t="inlineStr">
        <is>
          <t>Pre-venture</t>
        </is>
      </c>
      <c r="Q78" s="155" t="inlineStr">
        <is>
          <t>www.noagent.co.uk</t>
        </is>
      </c>
      <c r="R78" s="156" t="n">
        <v>30.0</v>
      </c>
      <c r="S78" s="157" t="inlineStr">
        <is>
          <t/>
        </is>
      </c>
      <c r="T78" s="158" t="inlineStr">
        <is>
          <t/>
        </is>
      </c>
      <c r="U78" s="159" t="inlineStr">
        <is>
          <t/>
        </is>
      </c>
      <c r="V78" s="160" t="inlineStr">
        <is>
          <t/>
        </is>
      </c>
      <c r="W78" s="161" t="inlineStr">
        <is>
          <t/>
        </is>
      </c>
      <c r="X78" s="162" t="inlineStr">
        <is>
          <t/>
        </is>
      </c>
      <c r="Y78" s="163" t="inlineStr">
        <is>
          <t/>
        </is>
      </c>
      <c r="Z78" s="164" t="inlineStr">
        <is>
          <t/>
        </is>
      </c>
      <c r="AA78" s="165" t="inlineStr">
        <is>
          <t/>
        </is>
      </c>
      <c r="AB78" s="166" t="inlineStr">
        <is>
          <t/>
        </is>
      </c>
      <c r="AC78" s="167" t="inlineStr">
        <is>
          <t/>
        </is>
      </c>
      <c r="AD78" s="168" t="inlineStr">
        <is>
          <t/>
        </is>
      </c>
      <c r="AE78" s="169" t="inlineStr">
        <is>
          <t>174150-19P</t>
        </is>
      </c>
      <c r="AF78" s="170" t="inlineStr">
        <is>
          <t>Thomas Beinans</t>
        </is>
      </c>
      <c r="AG78" s="171" t="inlineStr">
        <is>
          <t>Chief Financial Officer &amp; Director, Finance</t>
        </is>
      </c>
      <c r="AH78" s="172" t="inlineStr">
        <is>
          <t/>
        </is>
      </c>
      <c r="AI78" s="173" t="inlineStr">
        <is>
          <t>+44 (0)33 0999 1234</t>
        </is>
      </c>
      <c r="AJ78" s="174" t="inlineStr">
        <is>
          <t>London, United Kingdom</t>
        </is>
      </c>
      <c r="AK78" s="175" t="inlineStr">
        <is>
          <t>65 Leonard Street</t>
        </is>
      </c>
      <c r="AL78" s="176" t="inlineStr">
        <is>
          <t/>
        </is>
      </c>
      <c r="AM78" s="177" t="inlineStr">
        <is>
          <t>London</t>
        </is>
      </c>
      <c r="AN78" s="178" t="inlineStr">
        <is>
          <t>England</t>
        </is>
      </c>
      <c r="AO78" s="179" t="inlineStr">
        <is>
          <t>EC2A 4QS</t>
        </is>
      </c>
      <c r="AP78" s="180" t="inlineStr">
        <is>
          <t>United Kingdom</t>
        </is>
      </c>
      <c r="AQ78" s="181" t="inlineStr">
        <is>
          <t>+44 (0)33 0999 1234</t>
        </is>
      </c>
      <c r="AR78" s="182" t="inlineStr">
        <is>
          <t/>
        </is>
      </c>
      <c r="AS78" s="183" t="inlineStr">
        <is>
          <t>hello@noagent.co.uk</t>
        </is>
      </c>
      <c r="AT78" s="184" t="inlineStr">
        <is>
          <t>Europe</t>
        </is>
      </c>
      <c r="AU78" s="185" t="inlineStr">
        <is>
          <t>Western Europe</t>
        </is>
      </c>
      <c r="AV78" s="186" t="inlineStr">
        <is>
          <t>The company raised $1.1 million of angel funding from Nick Hynes and Carl Uminski on November 8, 2017. Other undisclosed investors also participated in the round. Previously, the company raised GBP 584,162 of angel funding via crowdfunding platform Seedrs on December 6, 2016.</t>
        </is>
      </c>
      <c r="AW78" s="187" t="inlineStr">
        <is>
          <t/>
        </is>
      </c>
      <c r="AX78" s="188" t="inlineStr">
        <is>
          <t/>
        </is>
      </c>
      <c r="AY78" s="189" t="inlineStr">
        <is>
          <t/>
        </is>
      </c>
      <c r="AZ78" s="190" t="inlineStr">
        <is>
          <t/>
        </is>
      </c>
      <c r="BA78" s="191" t="inlineStr">
        <is>
          <t/>
        </is>
      </c>
      <c r="BB78" s="192" t="inlineStr">
        <is>
          <t/>
        </is>
      </c>
      <c r="BC78" s="193" t="inlineStr">
        <is>
          <t/>
        </is>
      </c>
      <c r="BD78" s="194" t="inlineStr">
        <is>
          <t/>
        </is>
      </c>
      <c r="BE78" s="195" t="inlineStr">
        <is>
          <t/>
        </is>
      </c>
      <c r="BF78" s="196" t="inlineStr">
        <is>
          <t>Seedrs (Lead Manager or Arranger)</t>
        </is>
      </c>
      <c r="BG78" s="197" t="n">
        <v>42710.0</v>
      </c>
      <c r="BH78" s="198" t="n">
        <v>0.69</v>
      </c>
      <c r="BI78" s="199" t="inlineStr">
        <is>
          <t>Actual</t>
        </is>
      </c>
      <c r="BJ78" s="200" t="n">
        <v>3.48</v>
      </c>
      <c r="BK78" s="201" t="inlineStr">
        <is>
          <t>Actual</t>
        </is>
      </c>
      <c r="BL78" s="202" t="inlineStr">
        <is>
          <t>Angel (individual)</t>
        </is>
      </c>
      <c r="BM78" s="203" t="inlineStr">
        <is>
          <t>Angel</t>
        </is>
      </c>
      <c r="BN78" s="204" t="inlineStr">
        <is>
          <t/>
        </is>
      </c>
      <c r="BO78" s="205" t="inlineStr">
        <is>
          <t>Individual</t>
        </is>
      </c>
      <c r="BP78" s="206" t="inlineStr">
        <is>
          <t/>
        </is>
      </c>
      <c r="BQ78" s="207" t="inlineStr">
        <is>
          <t/>
        </is>
      </c>
      <c r="BR78" s="208" t="inlineStr">
        <is>
          <t/>
        </is>
      </c>
      <c r="BS78" s="209" t="inlineStr">
        <is>
          <t>Completed</t>
        </is>
      </c>
      <c r="BT78" s="210" t="n">
        <v>43047.0</v>
      </c>
      <c r="BU78" s="211" t="n">
        <v>0.94</v>
      </c>
      <c r="BV78" s="212" t="inlineStr">
        <is>
          <t>Actual</t>
        </is>
      </c>
      <c r="BW78" s="213" t="inlineStr">
        <is>
          <t/>
        </is>
      </c>
      <c r="BX78" s="214" t="inlineStr">
        <is>
          <t/>
        </is>
      </c>
      <c r="BY78" s="215" t="inlineStr">
        <is>
          <t>Angel (individual)</t>
        </is>
      </c>
      <c r="BZ78" s="216" t="inlineStr">
        <is>
          <t>Angel</t>
        </is>
      </c>
      <c r="CA78" s="217" t="inlineStr">
        <is>
          <t/>
        </is>
      </c>
      <c r="CB78" s="218" t="inlineStr">
        <is>
          <t>Individual</t>
        </is>
      </c>
      <c r="CC78" s="219" t="inlineStr">
        <is>
          <t/>
        </is>
      </c>
      <c r="CD78" s="220" t="inlineStr">
        <is>
          <t/>
        </is>
      </c>
      <c r="CE78" s="221" t="inlineStr">
        <is>
          <t/>
        </is>
      </c>
      <c r="CF78" s="222" t="inlineStr">
        <is>
          <t>Completed</t>
        </is>
      </c>
      <c r="CG78" s="223" t="inlineStr">
        <is>
          <t>3,30%</t>
        </is>
      </c>
      <c r="CH78" s="224" t="inlineStr">
        <is>
          <t>99</t>
        </is>
      </c>
      <c r="CI78" s="225" t="inlineStr">
        <is>
          <t>0,06%</t>
        </is>
      </c>
      <c r="CJ78" s="226" t="inlineStr">
        <is>
          <t>1,79%</t>
        </is>
      </c>
      <c r="CK78" s="227" t="inlineStr">
        <is>
          <t>5,98%</t>
        </is>
      </c>
      <c r="CL78" s="228" t="inlineStr">
        <is>
          <t>100</t>
        </is>
      </c>
      <c r="CM78" s="229" t="inlineStr">
        <is>
          <t>0,61%</t>
        </is>
      </c>
      <c r="CN78" s="230" t="inlineStr">
        <is>
          <t>91</t>
        </is>
      </c>
      <c r="CO78" s="231" t="inlineStr">
        <is>
          <t>11,46%</t>
        </is>
      </c>
      <c r="CP78" s="232" t="inlineStr">
        <is>
          <t>100</t>
        </is>
      </c>
      <c r="CQ78" s="233" t="inlineStr">
        <is>
          <t>0,50%</t>
        </is>
      </c>
      <c r="CR78" s="234" t="inlineStr">
        <is>
          <t>92</t>
        </is>
      </c>
      <c r="CS78" s="235" t="inlineStr">
        <is>
          <t>0,95%</t>
        </is>
      </c>
      <c r="CT78" s="236" t="inlineStr">
        <is>
          <t>94</t>
        </is>
      </c>
      <c r="CU78" s="237" t="inlineStr">
        <is>
          <t>0,28%</t>
        </is>
      </c>
      <c r="CV78" s="238" t="inlineStr">
        <is>
          <t>82</t>
        </is>
      </c>
      <c r="CW78" s="239" t="inlineStr">
        <is>
          <t>4,67x</t>
        </is>
      </c>
      <c r="CX78" s="240" t="inlineStr">
        <is>
          <t>79</t>
        </is>
      </c>
      <c r="CY78" s="241" t="inlineStr">
        <is>
          <t>-0,01x</t>
        </is>
      </c>
      <c r="CZ78" s="242" t="inlineStr">
        <is>
          <t>-0,22%</t>
        </is>
      </c>
      <c r="DA78" s="243" t="inlineStr">
        <is>
          <t>6,33x</t>
        </is>
      </c>
      <c r="DB78" s="244" t="inlineStr">
        <is>
          <t>84</t>
        </is>
      </c>
      <c r="DC78" s="245" t="inlineStr">
        <is>
          <t>3,01x</t>
        </is>
      </c>
      <c r="DD78" s="246" t="inlineStr">
        <is>
          <t>69</t>
        </is>
      </c>
      <c r="DE78" s="247" t="inlineStr">
        <is>
          <t>9,77x</t>
        </is>
      </c>
      <c r="DF78" s="248" t="inlineStr">
        <is>
          <t>88</t>
        </is>
      </c>
      <c r="DG78" s="249" t="inlineStr">
        <is>
          <t>2,89x</t>
        </is>
      </c>
      <c r="DH78" s="250" t="inlineStr">
        <is>
          <t>71</t>
        </is>
      </c>
      <c r="DI78" s="251" t="inlineStr">
        <is>
          <t>1,46x</t>
        </is>
      </c>
      <c r="DJ78" s="252" t="inlineStr">
        <is>
          <t>57</t>
        </is>
      </c>
      <c r="DK78" s="253" t="inlineStr">
        <is>
          <t>4,56x</t>
        </is>
      </c>
      <c r="DL78" s="254" t="inlineStr">
        <is>
          <t>78</t>
        </is>
      </c>
      <c r="DM78" s="255" t="inlineStr">
        <is>
          <t>3.639</t>
        </is>
      </c>
      <c r="DN78" s="256" t="inlineStr">
        <is>
          <t>-42</t>
        </is>
      </c>
      <c r="DO78" s="257" t="inlineStr">
        <is>
          <t>-1,14%</t>
        </is>
      </c>
      <c r="DP78" s="258" t="inlineStr">
        <is>
          <t>1.148</t>
        </is>
      </c>
      <c r="DQ78" s="259" t="inlineStr">
        <is>
          <t>6</t>
        </is>
      </c>
      <c r="DR78" s="260" t="inlineStr">
        <is>
          <t>0,53%</t>
        </is>
      </c>
      <c r="DS78" s="261" t="inlineStr">
        <is>
          <t>104</t>
        </is>
      </c>
      <c r="DT78" s="262" t="inlineStr">
        <is>
          <t>2</t>
        </is>
      </c>
      <c r="DU78" s="263" t="inlineStr">
        <is>
          <t>1,96%</t>
        </is>
      </c>
      <c r="DV78" s="264" t="inlineStr">
        <is>
          <t>1.702</t>
        </is>
      </c>
      <c r="DW78" s="265" t="inlineStr">
        <is>
          <t>0</t>
        </is>
      </c>
      <c r="DX78" s="266" t="inlineStr">
        <is>
          <t>0,00%</t>
        </is>
      </c>
      <c r="DY78" s="267" t="inlineStr">
        <is>
          <t>PitchBook Research</t>
        </is>
      </c>
      <c r="DZ78" s="786">
        <f>HYPERLINK("https://my.pitchbook.com?c=174169-99", "View company online")</f>
      </c>
    </row>
    <row r="79">
      <c r="A79" s="9" t="inlineStr">
        <is>
          <t>117289-72</t>
        </is>
      </c>
      <c r="B79" s="10" t="inlineStr">
        <is>
          <t>Meetingpackage</t>
        </is>
      </c>
      <c r="C79" s="11" t="inlineStr">
        <is>
          <t>Kokouspaketit.com</t>
        </is>
      </c>
      <c r="D79" s="12" t="inlineStr">
        <is>
          <t/>
        </is>
      </c>
      <c r="E79" s="13" t="inlineStr">
        <is>
          <t>117289-72</t>
        </is>
      </c>
      <c r="F79" s="14" t="inlineStr">
        <is>
          <t>Developer of web-based marketplace designed to bring together B2B meeting organizers and venue providers. The company's web-based marketplace makes it easy for B2B customers to find ready-made offsite meeting packages of all sizes, enabling companies to benefit from ease of use, time savings and transparency of package content and price and suppliers of meeting packages benefit from additional sales through packaged services.</t>
        </is>
      </c>
      <c r="G79" s="15" t="inlineStr">
        <is>
          <t>Business Products and Services (B2B)</t>
        </is>
      </c>
      <c r="H79" s="16" t="inlineStr">
        <is>
          <t>Commercial Services</t>
        </is>
      </c>
      <c r="I79" s="17" t="inlineStr">
        <is>
          <t>Media and Information Services (B2B)</t>
        </is>
      </c>
      <c r="J79" s="18" t="inlineStr">
        <is>
          <t>Media and Information Services (B2B)*; Application Software; Social/Platform Software</t>
        </is>
      </c>
      <c r="K79" s="19" t="inlineStr">
        <is>
          <t>Mobile, SaaS</t>
        </is>
      </c>
      <c r="L79" s="20" t="inlineStr">
        <is>
          <t>Venture Capital-Backed</t>
        </is>
      </c>
      <c r="M79" s="21" t="n">
        <v>1.65</v>
      </c>
      <c r="N79" s="22" t="inlineStr">
        <is>
          <t>Generating Revenue</t>
        </is>
      </c>
      <c r="O79" s="23" t="inlineStr">
        <is>
          <t>Privately Held (backing)</t>
        </is>
      </c>
      <c r="P79" s="24" t="inlineStr">
        <is>
          <t>Venture Capital</t>
        </is>
      </c>
      <c r="Q79" s="25" t="inlineStr">
        <is>
          <t>www.meetingpackage.com</t>
        </is>
      </c>
      <c r="R79" s="26" t="inlineStr">
        <is>
          <t/>
        </is>
      </c>
      <c r="S79" s="27" t="inlineStr">
        <is>
          <t/>
        </is>
      </c>
      <c r="T79" s="28" t="inlineStr">
        <is>
          <t/>
        </is>
      </c>
      <c r="U79" s="29" t="n">
        <v>2014.0</v>
      </c>
      <c r="V79" s="30" t="inlineStr">
        <is>
          <t/>
        </is>
      </c>
      <c r="W79" s="31" t="inlineStr">
        <is>
          <t/>
        </is>
      </c>
      <c r="X79" s="32" t="inlineStr">
        <is>
          <t/>
        </is>
      </c>
      <c r="Y79" s="33" t="n">
        <v>0.02846</v>
      </c>
      <c r="Z79" s="34" t="inlineStr">
        <is>
          <t/>
        </is>
      </c>
      <c r="AA79" s="35" t="n">
        <v>-0.73041</v>
      </c>
      <c r="AB79" s="36" t="inlineStr">
        <is>
          <t/>
        </is>
      </c>
      <c r="AC79" s="37" t="n">
        <v>-0.73041</v>
      </c>
      <c r="AD79" s="38" t="inlineStr">
        <is>
          <t>FY 2016</t>
        </is>
      </c>
      <c r="AE79" s="39" t="inlineStr">
        <is>
          <t>158354-02P</t>
        </is>
      </c>
      <c r="AF79" s="40" t="inlineStr">
        <is>
          <t>Antti Tarakkamäki</t>
        </is>
      </c>
      <c r="AG79" s="41" t="inlineStr">
        <is>
          <t>Chief Financial Officer</t>
        </is>
      </c>
      <c r="AH79" s="42" t="inlineStr">
        <is>
          <t>antti.tarakkamaki@meetingpackage.com</t>
        </is>
      </c>
      <c r="AI79" s="43" t="inlineStr">
        <is>
          <t>+358 (0)40 156 9160</t>
        </is>
      </c>
      <c r="AJ79" s="44" t="inlineStr">
        <is>
          <t>Espoo, Finland</t>
        </is>
      </c>
      <c r="AK79" s="45" t="inlineStr">
        <is>
          <t>Alberga Manor</t>
        </is>
      </c>
      <c r="AL79" s="46" t="inlineStr">
        <is>
          <t>Sokerilinnantie 7 C</t>
        </is>
      </c>
      <c r="AM79" s="47" t="inlineStr">
        <is>
          <t>Espoo</t>
        </is>
      </c>
      <c r="AN79" s="48" t="inlineStr">
        <is>
          <t/>
        </is>
      </c>
      <c r="AO79" s="49" t="inlineStr">
        <is>
          <t>02600</t>
        </is>
      </c>
      <c r="AP79" s="50" t="inlineStr">
        <is>
          <t>Finland</t>
        </is>
      </c>
      <c r="AQ79" s="51" t="inlineStr">
        <is>
          <t>+358 (0)40 938 8774</t>
        </is>
      </c>
      <c r="AR79" s="52" t="inlineStr">
        <is>
          <t/>
        </is>
      </c>
      <c r="AS79" s="53" t="inlineStr">
        <is>
          <t>info@meetingpackage.com</t>
        </is>
      </c>
      <c r="AT79" s="54" t="inlineStr">
        <is>
          <t>Europe</t>
        </is>
      </c>
      <c r="AU79" s="55" t="inlineStr">
        <is>
          <t>Northern Europe</t>
        </is>
      </c>
      <c r="AV79" s="56" t="inlineStr">
        <is>
          <t>The company is reportedly in the process of raising Series A venture funding from undisclosed investors on September 25, 2017. Earlier, the company raised EUR 1.2 million of seed funding from Jaakko Ollila, Jani Kaskinen and Takeoff Partners on September 25, 2017. Andreas Hansson also participated in the round. The company is being actively tracked by PitchBook.</t>
        </is>
      </c>
      <c r="AW79" s="57" t="inlineStr">
        <is>
          <t>Andreas Hansson, Jaakko Ollila, Jani Kaskinen, Jouko Virtanen, Kim Väisänen, Leif Backman, Markko Vaarnas, Merit Kuusniemi, Mika Kiljunen, Petteri Tuominen, Takeoff Partners, Tapio Talvisalo</t>
        </is>
      </c>
      <c r="AX79" s="58" t="n">
        <v>12.0</v>
      </c>
      <c r="AY79" s="59" t="inlineStr">
        <is>
          <t/>
        </is>
      </c>
      <c r="AZ79" s="60" t="inlineStr">
        <is>
          <t/>
        </is>
      </c>
      <c r="BA79" s="61" t="inlineStr">
        <is>
          <t/>
        </is>
      </c>
      <c r="BB79" s="62" t="inlineStr">
        <is>
          <t>Takeoff Partners (www.takeoffpartners.com)</t>
        </is>
      </c>
      <c r="BC79" s="63" t="inlineStr">
        <is>
          <t/>
        </is>
      </c>
      <c r="BD79" s="64" t="inlineStr">
        <is>
          <t/>
        </is>
      </c>
      <c r="BE79" s="65" t="inlineStr">
        <is>
          <t/>
        </is>
      </c>
      <c r="BF79" s="66" t="inlineStr">
        <is>
          <t/>
        </is>
      </c>
      <c r="BG79" s="67" t="n">
        <v>42095.0</v>
      </c>
      <c r="BH79" s="68" t="n">
        <v>0.15</v>
      </c>
      <c r="BI79" s="69" t="inlineStr">
        <is>
          <t>Actual</t>
        </is>
      </c>
      <c r="BJ79" s="70" t="inlineStr">
        <is>
          <t/>
        </is>
      </c>
      <c r="BK79" s="71" t="inlineStr">
        <is>
          <t/>
        </is>
      </c>
      <c r="BL79" s="72" t="inlineStr">
        <is>
          <t>Seed Round</t>
        </is>
      </c>
      <c r="BM79" s="73" t="inlineStr">
        <is>
          <t>Seed</t>
        </is>
      </c>
      <c r="BN79" s="74" t="inlineStr">
        <is>
          <t/>
        </is>
      </c>
      <c r="BO79" s="75" t="inlineStr">
        <is>
          <t>Venture Capital</t>
        </is>
      </c>
      <c r="BP79" s="76" t="inlineStr">
        <is>
          <t/>
        </is>
      </c>
      <c r="BQ79" s="77" t="inlineStr">
        <is>
          <t/>
        </is>
      </c>
      <c r="BR79" s="78" t="inlineStr">
        <is>
          <t/>
        </is>
      </c>
      <c r="BS79" s="79" t="inlineStr">
        <is>
          <t>Completed</t>
        </is>
      </c>
      <c r="BT79" s="80" t="n">
        <v>43070.0</v>
      </c>
      <c r="BU79" s="81" t="inlineStr">
        <is>
          <t/>
        </is>
      </c>
      <c r="BV79" s="82" t="inlineStr">
        <is>
          <t/>
        </is>
      </c>
      <c r="BW79" s="83" t="inlineStr">
        <is>
          <t/>
        </is>
      </c>
      <c r="BX79" s="84" t="inlineStr">
        <is>
          <t/>
        </is>
      </c>
      <c r="BY79" s="85" t="inlineStr">
        <is>
          <t>Early Stage VC</t>
        </is>
      </c>
      <c r="BZ79" s="86" t="inlineStr">
        <is>
          <t>Series A</t>
        </is>
      </c>
      <c r="CA79" s="87" t="inlineStr">
        <is>
          <t/>
        </is>
      </c>
      <c r="CB79" s="88" t="inlineStr">
        <is>
          <t>Venture Capital</t>
        </is>
      </c>
      <c r="CC79" s="89" t="inlineStr">
        <is>
          <t/>
        </is>
      </c>
      <c r="CD79" s="90" t="inlineStr">
        <is>
          <t/>
        </is>
      </c>
      <c r="CE79" s="91" t="inlineStr">
        <is>
          <t/>
        </is>
      </c>
      <c r="CF79" s="92" t="inlineStr">
        <is>
          <t>Upcoming</t>
        </is>
      </c>
      <c r="CG79" s="93" t="inlineStr">
        <is>
          <t>-1,70%</t>
        </is>
      </c>
      <c r="CH79" s="94" t="inlineStr">
        <is>
          <t>10</t>
        </is>
      </c>
      <c r="CI79" s="95" t="inlineStr">
        <is>
          <t>0,00%</t>
        </is>
      </c>
      <c r="CJ79" s="96" t="inlineStr">
        <is>
          <t>0,18%</t>
        </is>
      </c>
      <c r="CK79" s="97" t="inlineStr">
        <is>
          <t>-3,58%</t>
        </is>
      </c>
      <c r="CL79" s="98" t="inlineStr">
        <is>
          <t>10</t>
        </is>
      </c>
      <c r="CM79" s="99" t="inlineStr">
        <is>
          <t>0,17%</t>
        </is>
      </c>
      <c r="CN79" s="100" t="inlineStr">
        <is>
          <t>68</t>
        </is>
      </c>
      <c r="CO79" s="101" t="inlineStr">
        <is>
          <t>-7,16%</t>
        </is>
      </c>
      <c r="CP79" s="102" t="inlineStr">
        <is>
          <t>17</t>
        </is>
      </c>
      <c r="CQ79" s="103" t="inlineStr">
        <is>
          <t>0,00%</t>
        </is>
      </c>
      <c r="CR79" s="104" t="inlineStr">
        <is>
          <t>20</t>
        </is>
      </c>
      <c r="CS79" s="105" t="inlineStr">
        <is>
          <t>0,12%</t>
        </is>
      </c>
      <c r="CT79" s="106" t="inlineStr">
        <is>
          <t>60</t>
        </is>
      </c>
      <c r="CU79" s="107" t="inlineStr">
        <is>
          <t>0,23%</t>
        </is>
      </c>
      <c r="CV79" s="108" t="inlineStr">
        <is>
          <t>79</t>
        </is>
      </c>
      <c r="CW79" s="109" t="inlineStr">
        <is>
          <t>2,27x</t>
        </is>
      </c>
      <c r="CX79" s="110" t="inlineStr">
        <is>
          <t>67</t>
        </is>
      </c>
      <c r="CY79" s="111" t="inlineStr">
        <is>
          <t>-0,07x</t>
        </is>
      </c>
      <c r="CZ79" s="112" t="inlineStr">
        <is>
          <t>-2,96%</t>
        </is>
      </c>
      <c r="DA79" s="113" t="inlineStr">
        <is>
          <t>1,11x</t>
        </is>
      </c>
      <c r="DB79" s="114" t="inlineStr">
        <is>
          <t>54</t>
        </is>
      </c>
      <c r="DC79" s="115" t="inlineStr">
        <is>
          <t>3,43x</t>
        </is>
      </c>
      <c r="DD79" s="116" t="inlineStr">
        <is>
          <t>71</t>
        </is>
      </c>
      <c r="DE79" s="117" t="inlineStr">
        <is>
          <t>1,08x</t>
        </is>
      </c>
      <c r="DF79" s="118" t="inlineStr">
        <is>
          <t>52</t>
        </is>
      </c>
      <c r="DG79" s="119" t="inlineStr">
        <is>
          <t>1,14x</t>
        </is>
      </c>
      <c r="DH79" s="120" t="inlineStr">
        <is>
          <t>53</t>
        </is>
      </c>
      <c r="DI79" s="121" t="inlineStr">
        <is>
          <t>3,16x</t>
        </is>
      </c>
      <c r="DJ79" s="122" t="inlineStr">
        <is>
          <t>69</t>
        </is>
      </c>
      <c r="DK79" s="123" t="inlineStr">
        <is>
          <t>3,70x</t>
        </is>
      </c>
      <c r="DL79" s="124" t="inlineStr">
        <is>
          <t>74</t>
        </is>
      </c>
      <c r="DM79" s="125" t="inlineStr">
        <is>
          <t>388</t>
        </is>
      </c>
      <c r="DN79" s="126" t="inlineStr">
        <is>
          <t>54</t>
        </is>
      </c>
      <c r="DO79" s="127" t="inlineStr">
        <is>
          <t>16,17%</t>
        </is>
      </c>
      <c r="DP79" s="128" t="inlineStr">
        <is>
          <t>2.505</t>
        </is>
      </c>
      <c r="DQ79" s="129" t="inlineStr">
        <is>
          <t>1</t>
        </is>
      </c>
      <c r="DR79" s="130" t="inlineStr">
        <is>
          <t>0,04%</t>
        </is>
      </c>
      <c r="DS79" s="131" t="inlineStr">
        <is>
          <t>44</t>
        </is>
      </c>
      <c r="DT79" s="132" t="inlineStr">
        <is>
          <t>-5</t>
        </is>
      </c>
      <c r="DU79" s="133" t="inlineStr">
        <is>
          <t>-10,20%</t>
        </is>
      </c>
      <c r="DV79" s="134" t="inlineStr">
        <is>
          <t>1.385</t>
        </is>
      </c>
      <c r="DW79" s="135" t="inlineStr">
        <is>
          <t>8</t>
        </is>
      </c>
      <c r="DX79" s="136" t="inlineStr">
        <is>
          <t>0,58%</t>
        </is>
      </c>
      <c r="DY79" s="137" t="inlineStr">
        <is>
          <t>PitchBook Research</t>
        </is>
      </c>
      <c r="DZ79" s="785">
        <f>HYPERLINK("https://my.pitchbook.com?c=117289-72", "View company online")</f>
      </c>
    </row>
    <row r="80">
      <c r="A80" s="139" t="inlineStr">
        <is>
          <t>172100-62</t>
        </is>
      </c>
      <c r="B80" s="140" t="inlineStr">
        <is>
          <t>Bzzt</t>
        </is>
      </c>
      <c r="C80" s="141" t="inlineStr">
        <is>
          <t/>
        </is>
      </c>
      <c r="D80" s="142" t="inlineStr">
        <is>
          <t/>
        </is>
      </c>
      <c r="E80" s="143" t="inlineStr">
        <is>
          <t>172100-62</t>
        </is>
      </c>
      <c r="F80" s="144" t="inlineStr">
        <is>
          <t>Operator of taxpods traveling application designed to offer short distance rides at pretty cheap price. The company's taxpods traveling application provides quick pick-up services whenever a taxpod in booked from the application, enabling clients to travel smoothly and at a cheaper price.</t>
        </is>
      </c>
      <c r="G80" s="145" t="inlineStr">
        <is>
          <t>Consumer Products and Services (B2C)</t>
        </is>
      </c>
      <c r="H80" s="146" t="inlineStr">
        <is>
          <t>Transportation</t>
        </is>
      </c>
      <c r="I80" s="147" t="inlineStr">
        <is>
          <t>Automotive</t>
        </is>
      </c>
      <c r="J80" s="148" t="inlineStr">
        <is>
          <t>Automotive*; Road; Application Software</t>
        </is>
      </c>
      <c r="K80" s="149" t="inlineStr">
        <is>
          <t>Mobile</t>
        </is>
      </c>
      <c r="L80" s="150" t="inlineStr">
        <is>
          <t>Venture Capital-Backed</t>
        </is>
      </c>
      <c r="M80" s="151" t="n">
        <v>1.67</v>
      </c>
      <c r="N80" s="152" t="inlineStr">
        <is>
          <t>Generating Revenue</t>
        </is>
      </c>
      <c r="O80" s="153" t="inlineStr">
        <is>
          <t>Privately Held (backing)</t>
        </is>
      </c>
      <c r="P80" s="154" t="inlineStr">
        <is>
          <t>Venture Capital</t>
        </is>
      </c>
      <c r="Q80" s="155" t="inlineStr">
        <is>
          <t>www.bzzt.se</t>
        </is>
      </c>
      <c r="R80" s="156" t="n">
        <v>1.0</v>
      </c>
      <c r="S80" s="157" t="inlineStr">
        <is>
          <t/>
        </is>
      </c>
      <c r="T80" s="158" t="inlineStr">
        <is>
          <t/>
        </is>
      </c>
      <c r="U80" s="159" t="n">
        <v>2014.0</v>
      </c>
      <c r="V80" s="160" t="inlineStr">
        <is>
          <t/>
        </is>
      </c>
      <c r="W80" s="161" t="inlineStr">
        <is>
          <t/>
        </is>
      </c>
      <c r="X80" s="162" t="inlineStr">
        <is>
          <t/>
        </is>
      </c>
      <c r="Y80" s="163" t="n">
        <v>0.00949</v>
      </c>
      <c r="Z80" s="164" t="inlineStr">
        <is>
          <t/>
        </is>
      </c>
      <c r="AA80" s="165" t="inlineStr">
        <is>
          <t/>
        </is>
      </c>
      <c r="AB80" s="166" t="inlineStr">
        <is>
          <t/>
        </is>
      </c>
      <c r="AC80" s="167" t="inlineStr">
        <is>
          <t/>
        </is>
      </c>
      <c r="AD80" s="168" t="inlineStr">
        <is>
          <t>FY 2016</t>
        </is>
      </c>
      <c r="AE80" s="169" t="inlineStr">
        <is>
          <t>161927-29P</t>
        </is>
      </c>
      <c r="AF80" s="170" t="inlineStr">
        <is>
          <t>Sven Wolf</t>
        </is>
      </c>
      <c r="AG80" s="171" t="inlineStr">
        <is>
          <t>Chief Executive Officer &amp; Co-Founder</t>
        </is>
      </c>
      <c r="AH80" s="172" t="inlineStr">
        <is>
          <t>sven.wolf@bzzt.se</t>
        </is>
      </c>
      <c r="AI80" s="173" t="inlineStr">
        <is>
          <t/>
        </is>
      </c>
      <c r="AJ80" s="174" t="inlineStr">
        <is>
          <t>Stockholm, Sweden</t>
        </is>
      </c>
      <c r="AK80" s="175" t="inlineStr">
        <is>
          <t>Torsgatan 46</t>
        </is>
      </c>
      <c r="AL80" s="176" t="inlineStr">
        <is>
          <t/>
        </is>
      </c>
      <c r="AM80" s="177" t="inlineStr">
        <is>
          <t>Stockholm</t>
        </is>
      </c>
      <c r="AN80" s="178" t="inlineStr">
        <is>
          <t/>
        </is>
      </c>
      <c r="AO80" s="179" t="inlineStr">
        <is>
          <t>113 37</t>
        </is>
      </c>
      <c r="AP80" s="180" t="inlineStr">
        <is>
          <t>Sweden</t>
        </is>
      </c>
      <c r="AQ80" s="181" t="inlineStr">
        <is>
          <t/>
        </is>
      </c>
      <c r="AR80" s="182" t="inlineStr">
        <is>
          <t/>
        </is>
      </c>
      <c r="AS80" s="183" t="inlineStr">
        <is>
          <t>info@bzzt.se</t>
        </is>
      </c>
      <c r="AT80" s="184" t="inlineStr">
        <is>
          <t>Europe</t>
        </is>
      </c>
      <c r="AU80" s="185" t="inlineStr">
        <is>
          <t>Northern Europe</t>
        </is>
      </c>
      <c r="AV80" s="186" t="inlineStr">
        <is>
          <t>The company raised SEK 7 million of venture funding from Modelio Equity and Niklas Zennström on October 10, 2017. The company will use the funds to develop advertising solutions and explore foreign expansion. Previously, the company raised SEK 6.05 million of angel funding via crowdfunding platform FundedByMe on July 14, 2017. Previously, the company raised SEK 3 million of venture funding from Modelio Equity and Niklas Zennström on December 1, 2016.</t>
        </is>
      </c>
      <c r="AW80" s="187" t="inlineStr">
        <is>
          <t>Modelio Equity, Niklas Zennström</t>
        </is>
      </c>
      <c r="AX80" s="188" t="n">
        <v>2.0</v>
      </c>
      <c r="AY80" s="189" t="inlineStr">
        <is>
          <t/>
        </is>
      </c>
      <c r="AZ80" s="190" t="inlineStr">
        <is>
          <t/>
        </is>
      </c>
      <c r="BA80" s="191" t="inlineStr">
        <is>
          <t/>
        </is>
      </c>
      <c r="BB80" s="192" t="inlineStr">
        <is>
          <t>Modelio Equity (www.modelioequity.com)</t>
        </is>
      </c>
      <c r="BC80" s="193" t="inlineStr">
        <is>
          <t/>
        </is>
      </c>
      <c r="BD80" s="194" t="inlineStr">
        <is>
          <t/>
        </is>
      </c>
      <c r="BE80" s="195" t="inlineStr">
        <is>
          <t/>
        </is>
      </c>
      <c r="BF80" s="196" t="inlineStr">
        <is>
          <t>FundedByMe (Lead Manager or Arranger)</t>
        </is>
      </c>
      <c r="BG80" s="197" t="inlineStr">
        <is>
          <t/>
        </is>
      </c>
      <c r="BH80" s="198" t="n">
        <v>0.01</v>
      </c>
      <c r="BI80" s="199" t="inlineStr">
        <is>
          <t>Actual</t>
        </is>
      </c>
      <c r="BJ80" s="200" t="inlineStr">
        <is>
          <t/>
        </is>
      </c>
      <c r="BK80" s="201" t="inlineStr">
        <is>
          <t/>
        </is>
      </c>
      <c r="BL80" s="202" t="inlineStr">
        <is>
          <t>Grant</t>
        </is>
      </c>
      <c r="BM80" s="203" t="inlineStr">
        <is>
          <t/>
        </is>
      </c>
      <c r="BN80" s="204" t="inlineStr">
        <is>
          <t/>
        </is>
      </c>
      <c r="BO80" s="205" t="inlineStr">
        <is>
          <t>Other</t>
        </is>
      </c>
      <c r="BP80" s="206" t="inlineStr">
        <is>
          <t/>
        </is>
      </c>
      <c r="BQ80" s="207" t="inlineStr">
        <is>
          <t/>
        </is>
      </c>
      <c r="BR80" s="208" t="inlineStr">
        <is>
          <t/>
        </is>
      </c>
      <c r="BS80" s="209" t="inlineStr">
        <is>
          <t>Completed</t>
        </is>
      </c>
      <c r="BT80" s="210" t="n">
        <v>43018.0</v>
      </c>
      <c r="BU80" s="211" t="n">
        <v>0.73</v>
      </c>
      <c r="BV80" s="212" t="inlineStr">
        <is>
          <t>Actual</t>
        </is>
      </c>
      <c r="BW80" s="213" t="inlineStr">
        <is>
          <t/>
        </is>
      </c>
      <c r="BX80" s="214" t="inlineStr">
        <is>
          <t/>
        </is>
      </c>
      <c r="BY80" s="215" t="inlineStr">
        <is>
          <t>Early Stage VC</t>
        </is>
      </c>
      <c r="BZ80" s="216" t="inlineStr">
        <is>
          <t/>
        </is>
      </c>
      <c r="CA80" s="217" t="inlineStr">
        <is>
          <t/>
        </is>
      </c>
      <c r="CB80" s="218" t="inlineStr">
        <is>
          <t>Venture Capital</t>
        </is>
      </c>
      <c r="CC80" s="219" t="inlineStr">
        <is>
          <t/>
        </is>
      </c>
      <c r="CD80" s="220" t="inlineStr">
        <is>
          <t/>
        </is>
      </c>
      <c r="CE80" s="221" t="inlineStr">
        <is>
          <t/>
        </is>
      </c>
      <c r="CF80" s="222" t="inlineStr">
        <is>
          <t>Completed</t>
        </is>
      </c>
      <c r="CG80" s="223" t="inlineStr">
        <is>
          <t>-2,40%</t>
        </is>
      </c>
      <c r="CH80" s="224" t="inlineStr">
        <is>
          <t>8</t>
        </is>
      </c>
      <c r="CI80" s="225" t="inlineStr">
        <is>
          <t>-0,10%</t>
        </is>
      </c>
      <c r="CJ80" s="226" t="inlineStr">
        <is>
          <t>-4,27%</t>
        </is>
      </c>
      <c r="CK80" s="227" t="inlineStr">
        <is>
          <t>-5,87%</t>
        </is>
      </c>
      <c r="CL80" s="228" t="inlineStr">
        <is>
          <t>7</t>
        </is>
      </c>
      <c r="CM80" s="229" t="inlineStr">
        <is>
          <t>1,07%</t>
        </is>
      </c>
      <c r="CN80" s="230" t="inlineStr">
        <is>
          <t>96</t>
        </is>
      </c>
      <c r="CO80" s="231" t="inlineStr">
        <is>
          <t>-11,75%</t>
        </is>
      </c>
      <c r="CP80" s="232" t="inlineStr">
        <is>
          <t>11</t>
        </is>
      </c>
      <c r="CQ80" s="233" t="inlineStr">
        <is>
          <t>0,00%</t>
        </is>
      </c>
      <c r="CR80" s="234" t="inlineStr">
        <is>
          <t>20</t>
        </is>
      </c>
      <c r="CS80" s="235" t="inlineStr">
        <is>
          <t>1,07%</t>
        </is>
      </c>
      <c r="CT80" s="236" t="inlineStr">
        <is>
          <t>95</t>
        </is>
      </c>
      <c r="CU80" s="237" t="inlineStr">
        <is>
          <t/>
        </is>
      </c>
      <c r="CV80" s="238" t="inlineStr">
        <is>
          <t/>
        </is>
      </c>
      <c r="CW80" s="239" t="inlineStr">
        <is>
          <t>2,69x</t>
        </is>
      </c>
      <c r="CX80" s="240" t="inlineStr">
        <is>
          <t>70</t>
        </is>
      </c>
      <c r="CY80" s="241" t="inlineStr">
        <is>
          <t>-0,01x</t>
        </is>
      </c>
      <c r="CZ80" s="242" t="inlineStr">
        <is>
          <t>-0,43%</t>
        </is>
      </c>
      <c r="DA80" s="243" t="inlineStr">
        <is>
          <t>2,51x</t>
        </is>
      </c>
      <c r="DB80" s="244" t="inlineStr">
        <is>
          <t>71</t>
        </is>
      </c>
      <c r="DC80" s="245" t="inlineStr">
        <is>
          <t>2,87x</t>
        </is>
      </c>
      <c r="DD80" s="246" t="inlineStr">
        <is>
          <t>68</t>
        </is>
      </c>
      <c r="DE80" s="247" t="inlineStr">
        <is>
          <t>4,02x</t>
        </is>
      </c>
      <c r="DF80" s="248" t="inlineStr">
        <is>
          <t>78</t>
        </is>
      </c>
      <c r="DG80" s="249" t="inlineStr">
        <is>
          <t>1,00x</t>
        </is>
      </c>
      <c r="DH80" s="250" t="inlineStr">
        <is>
          <t>50</t>
        </is>
      </c>
      <c r="DI80" s="251" t="inlineStr">
        <is>
          <t>2,87x</t>
        </is>
      </c>
      <c r="DJ80" s="252" t="inlineStr">
        <is>
          <t>67</t>
        </is>
      </c>
      <c r="DK80" s="253" t="inlineStr">
        <is>
          <t/>
        </is>
      </c>
      <c r="DL80" s="254" t="inlineStr">
        <is>
          <t/>
        </is>
      </c>
      <c r="DM80" s="255" t="inlineStr">
        <is>
          <t>1.532</t>
        </is>
      </c>
      <c r="DN80" s="256" t="inlineStr">
        <is>
          <t>-121</t>
        </is>
      </c>
      <c r="DO80" s="257" t="inlineStr">
        <is>
          <t>-7,32%</t>
        </is>
      </c>
      <c r="DP80" s="258" t="inlineStr">
        <is>
          <t>2.270</t>
        </is>
      </c>
      <c r="DQ80" s="259" t="inlineStr">
        <is>
          <t>12</t>
        </is>
      </c>
      <c r="DR80" s="260" t="inlineStr">
        <is>
          <t>0,53%</t>
        </is>
      </c>
      <c r="DS80" s="261" t="inlineStr">
        <is>
          <t>36</t>
        </is>
      </c>
      <c r="DT80" s="262" t="inlineStr">
        <is>
          <t>-1</t>
        </is>
      </c>
      <c r="DU80" s="263" t="inlineStr">
        <is>
          <t>-2,70%</t>
        </is>
      </c>
      <c r="DV80" s="264" t="inlineStr">
        <is>
          <t/>
        </is>
      </c>
      <c r="DW80" s="265" t="inlineStr">
        <is>
          <t/>
        </is>
      </c>
      <c r="DX80" s="266" t="inlineStr">
        <is>
          <t/>
        </is>
      </c>
      <c r="DY80" s="267" t="inlineStr">
        <is>
          <t>PitchBook Research</t>
        </is>
      </c>
      <c r="DZ80" s="786">
        <f>HYPERLINK("https://my.pitchbook.com?c=172100-62", "View company online")</f>
      </c>
    </row>
    <row r="81">
      <c r="A81" s="9" t="inlineStr">
        <is>
          <t>222438-52</t>
        </is>
      </c>
      <c r="B81" s="10" t="inlineStr">
        <is>
          <t>CircleLoop</t>
        </is>
      </c>
      <c r="C81" s="11" t="inlineStr">
        <is>
          <t/>
        </is>
      </c>
      <c r="D81" s="12" t="inlineStr">
        <is>
          <t/>
        </is>
      </c>
      <c r="E81" s="13" t="inlineStr">
        <is>
          <t>222438-52</t>
        </is>
      </c>
      <c r="F81" s="14" t="inlineStr">
        <is>
          <t>Provider of a cloud-based phone system intended to make and receive calls on any device, anywhere. The company's self-service and smart online phone system lets its users use applications on their existing desktop computers and mobile devices, turning them into an instant business phone system with powerful features such as contact synchronisation, internal call transfer, international call reach, conference calling and virtual conferencing so that they can make or receive calls via any device, enabling small and medium sized businesses and startups to manage their calls and improve communication without having to go for separate contracts with fixed and mobile providers, while consolidating business contacts into one simple billing plan.</t>
        </is>
      </c>
      <c r="G81" s="15" t="inlineStr">
        <is>
          <t>Information Technology</t>
        </is>
      </c>
      <c r="H81" s="16" t="inlineStr">
        <is>
          <t>Software</t>
        </is>
      </c>
      <c r="I81" s="17" t="inlineStr">
        <is>
          <t>Application Software</t>
        </is>
      </c>
      <c r="J81" s="18" t="inlineStr">
        <is>
          <t>Application Software*; Other Communications and Networking; Communication Software</t>
        </is>
      </c>
      <c r="K81" s="19" t="inlineStr">
        <is>
          <t>Mobile, SaaS</t>
        </is>
      </c>
      <c r="L81" s="20" t="inlineStr">
        <is>
          <t>Angel-Backed</t>
        </is>
      </c>
      <c r="M81" s="21" t="n">
        <v>1.68</v>
      </c>
      <c r="N81" s="22" t="inlineStr">
        <is>
          <t>Generating Revenue</t>
        </is>
      </c>
      <c r="O81" s="23" t="inlineStr">
        <is>
          <t>Privately Held (backing)</t>
        </is>
      </c>
      <c r="P81" s="24" t="inlineStr">
        <is>
          <t>Pre-venture</t>
        </is>
      </c>
      <c r="Q81" s="25" t="inlineStr">
        <is>
          <t>www.circleloop.com</t>
        </is>
      </c>
      <c r="R81" s="26" t="inlineStr">
        <is>
          <t/>
        </is>
      </c>
      <c r="S81" s="27" t="inlineStr">
        <is>
          <t/>
        </is>
      </c>
      <c r="T81" s="28" t="inlineStr">
        <is>
          <t/>
        </is>
      </c>
      <c r="U81" s="29" t="n">
        <v>2016.0</v>
      </c>
      <c r="V81" s="30" t="inlineStr">
        <is>
          <t/>
        </is>
      </c>
      <c r="W81" s="31" t="inlineStr">
        <is>
          <t/>
        </is>
      </c>
      <c r="X81" s="32" t="inlineStr">
        <is>
          <r>
            <rPr>
              <b/>
              <color rgb="ff26854d"/>
              <rFont val="Arial"/>
              <sz val="8.0"/>
            </rPr>
            <t>News</t>
          </r>
          <r>
            <rPr>
              <color rgb="ff707070"/>
              <rFont val="Arial"/>
              <sz val="7.0"/>
            </rPr>
            <t xml:space="preserve"> NEW  </t>
          </r>
        </is>
      </c>
      <c r="Y81" s="33" t="inlineStr">
        <is>
          <t/>
        </is>
      </c>
      <c r="Z81" s="34" t="inlineStr">
        <is>
          <t/>
        </is>
      </c>
      <c r="AA81" s="35" t="inlineStr">
        <is>
          <t/>
        </is>
      </c>
      <c r="AB81" s="36" t="inlineStr">
        <is>
          <t/>
        </is>
      </c>
      <c r="AC81" s="37" t="inlineStr">
        <is>
          <t/>
        </is>
      </c>
      <c r="AD81" s="38" t="inlineStr">
        <is>
          <t/>
        </is>
      </c>
      <c r="AE81" s="39" t="inlineStr">
        <is>
          <t>65489-59P</t>
        </is>
      </c>
      <c r="AF81" s="40" t="inlineStr">
        <is>
          <t>Damian Hanson</t>
        </is>
      </c>
      <c r="AG81" s="41" t="inlineStr">
        <is>
          <t>Co-Founder &amp; Chief Executive Officer</t>
        </is>
      </c>
      <c r="AH81" s="42" t="inlineStr">
        <is>
          <t>damian@circleloop.com</t>
        </is>
      </c>
      <c r="AI81" s="43" t="inlineStr">
        <is>
          <t>+44 (0)33 3050 6070</t>
        </is>
      </c>
      <c r="AJ81" s="44" t="inlineStr">
        <is>
          <t>Manchester, United Kingdom</t>
        </is>
      </c>
      <c r="AK81" s="45" t="inlineStr">
        <is>
          <t>3rd Floor, The Lexicon</t>
        </is>
      </c>
      <c r="AL81" s="46" t="inlineStr">
        <is>
          <t>Mount Street</t>
        </is>
      </c>
      <c r="AM81" s="47" t="inlineStr">
        <is>
          <t>Manchester</t>
        </is>
      </c>
      <c r="AN81" s="48" t="inlineStr">
        <is>
          <t>England</t>
        </is>
      </c>
      <c r="AO81" s="49" t="inlineStr">
        <is>
          <t>M3 2HP</t>
        </is>
      </c>
      <c r="AP81" s="50" t="inlineStr">
        <is>
          <t>United Kingdom</t>
        </is>
      </c>
      <c r="AQ81" s="51" t="inlineStr">
        <is>
          <t>+44 (0)33 3050 6070</t>
        </is>
      </c>
      <c r="AR81" s="52" t="inlineStr">
        <is>
          <t/>
        </is>
      </c>
      <c r="AS81" s="53" t="inlineStr">
        <is>
          <t>hello@circleloop.com</t>
        </is>
      </c>
      <c r="AT81" s="54" t="inlineStr">
        <is>
          <t>Europe</t>
        </is>
      </c>
      <c r="AU81" s="55" t="inlineStr">
        <is>
          <t>Western Europe</t>
        </is>
      </c>
      <c r="AV81" s="56" t="inlineStr">
        <is>
          <t>The company raised GBP 1.5 million of seed funding from undisclosed investors on November 21, 2017. The company intends to use the funding to scale its operations and accelerate its growth in the UK market, integrating into SaaS products with focus on CRM tools.</t>
        </is>
      </c>
      <c r="AW81" s="57" t="inlineStr">
        <is>
          <t/>
        </is>
      </c>
      <c r="AX81" s="58" t="inlineStr">
        <is>
          <t/>
        </is>
      </c>
      <c r="AY81" s="59" t="inlineStr">
        <is>
          <t/>
        </is>
      </c>
      <c r="AZ81" s="60" t="inlineStr">
        <is>
          <t/>
        </is>
      </c>
      <c r="BA81" s="61" t="inlineStr">
        <is>
          <t/>
        </is>
      </c>
      <c r="BB81" s="62" t="inlineStr">
        <is>
          <t/>
        </is>
      </c>
      <c r="BC81" s="63" t="inlineStr">
        <is>
          <t/>
        </is>
      </c>
      <c r="BD81" s="64" t="inlineStr">
        <is>
          <t/>
        </is>
      </c>
      <c r="BE81" s="65" t="inlineStr">
        <is>
          <t/>
        </is>
      </c>
      <c r="BF81" s="66" t="inlineStr">
        <is>
          <t/>
        </is>
      </c>
      <c r="BG81" s="67" t="n">
        <v>43060.0</v>
      </c>
      <c r="BH81" s="68" t="n">
        <v>1.68</v>
      </c>
      <c r="BI81" s="69" t="inlineStr">
        <is>
          <t>Actual</t>
        </is>
      </c>
      <c r="BJ81" s="70" t="inlineStr">
        <is>
          <t/>
        </is>
      </c>
      <c r="BK81" s="71" t="inlineStr">
        <is>
          <t/>
        </is>
      </c>
      <c r="BL81" s="72" t="inlineStr">
        <is>
          <t>Seed Round</t>
        </is>
      </c>
      <c r="BM81" s="73" t="inlineStr">
        <is>
          <t>Seed</t>
        </is>
      </c>
      <c r="BN81" s="74" t="inlineStr">
        <is>
          <t/>
        </is>
      </c>
      <c r="BO81" s="75" t="inlineStr">
        <is>
          <t>Individual</t>
        </is>
      </c>
      <c r="BP81" s="76" t="inlineStr">
        <is>
          <t/>
        </is>
      </c>
      <c r="BQ81" s="77" t="inlineStr">
        <is>
          <t/>
        </is>
      </c>
      <c r="BR81" s="78" t="inlineStr">
        <is>
          <t/>
        </is>
      </c>
      <c r="BS81" s="79" t="inlineStr">
        <is>
          <t>Completed</t>
        </is>
      </c>
      <c r="BT81" s="80" t="n">
        <v>43060.0</v>
      </c>
      <c r="BU81" s="81" t="n">
        <v>1.68</v>
      </c>
      <c r="BV81" s="82" t="inlineStr">
        <is>
          <t>Actual</t>
        </is>
      </c>
      <c r="BW81" s="83" t="inlineStr">
        <is>
          <t/>
        </is>
      </c>
      <c r="BX81" s="84" t="inlineStr">
        <is>
          <t/>
        </is>
      </c>
      <c r="BY81" s="85" t="inlineStr">
        <is>
          <t>Seed Round</t>
        </is>
      </c>
      <c r="BZ81" s="86" t="inlineStr">
        <is>
          <t>Seed</t>
        </is>
      </c>
      <c r="CA81" s="87" t="inlineStr">
        <is>
          <t/>
        </is>
      </c>
      <c r="CB81" s="88" t="inlineStr">
        <is>
          <t>Individual</t>
        </is>
      </c>
      <c r="CC81" s="89" t="inlineStr">
        <is>
          <t/>
        </is>
      </c>
      <c r="CD81" s="90" t="inlineStr">
        <is>
          <t/>
        </is>
      </c>
      <c r="CE81" s="91" t="inlineStr">
        <is>
          <t/>
        </is>
      </c>
      <c r="CF81" s="92" t="inlineStr">
        <is>
          <t>Completed</t>
        </is>
      </c>
      <c r="CG81" s="93" t="inlineStr">
        <is>
          <t/>
        </is>
      </c>
      <c r="CH81" s="94" t="inlineStr">
        <is>
          <t/>
        </is>
      </c>
      <c r="CI81" s="95" t="inlineStr">
        <is>
          <t/>
        </is>
      </c>
      <c r="CJ81" s="96" t="inlineStr">
        <is>
          <t/>
        </is>
      </c>
      <c r="CK81" s="97" t="inlineStr">
        <is>
          <t/>
        </is>
      </c>
      <c r="CL81" s="98" t="inlineStr">
        <is>
          <t/>
        </is>
      </c>
      <c r="CM81" s="99" t="inlineStr">
        <is>
          <t/>
        </is>
      </c>
      <c r="CN81" s="100" t="inlineStr">
        <is>
          <t/>
        </is>
      </c>
      <c r="CO81" s="101" t="inlineStr">
        <is>
          <t/>
        </is>
      </c>
      <c r="CP81" s="102" t="inlineStr">
        <is>
          <t/>
        </is>
      </c>
      <c r="CQ81" s="103" t="inlineStr">
        <is>
          <t/>
        </is>
      </c>
      <c r="CR81" s="104" t="inlineStr">
        <is>
          <t/>
        </is>
      </c>
      <c r="CS81" s="105" t="inlineStr">
        <is>
          <t/>
        </is>
      </c>
      <c r="CT81" s="106" t="inlineStr">
        <is>
          <t/>
        </is>
      </c>
      <c r="CU81" s="107" t="inlineStr">
        <is>
          <t/>
        </is>
      </c>
      <c r="CV81" s="108" t="inlineStr">
        <is>
          <t/>
        </is>
      </c>
      <c r="CW81" s="109" t="inlineStr">
        <is>
          <t/>
        </is>
      </c>
      <c r="CX81" s="110" t="inlineStr">
        <is>
          <t/>
        </is>
      </c>
      <c r="CY81" s="111" t="inlineStr">
        <is>
          <t/>
        </is>
      </c>
      <c r="CZ81" s="112" t="inlineStr">
        <is>
          <t/>
        </is>
      </c>
      <c r="DA81" s="113" t="inlineStr">
        <is>
          <t/>
        </is>
      </c>
      <c r="DB81" s="114" t="inlineStr">
        <is>
          <t/>
        </is>
      </c>
      <c r="DC81" s="115" t="inlineStr">
        <is>
          <t/>
        </is>
      </c>
      <c r="DD81" s="116" t="inlineStr">
        <is>
          <t/>
        </is>
      </c>
      <c r="DE81" s="117" t="inlineStr">
        <is>
          <t/>
        </is>
      </c>
      <c r="DF81" s="118" t="inlineStr">
        <is>
          <t/>
        </is>
      </c>
      <c r="DG81" s="119" t="inlineStr">
        <is>
          <t/>
        </is>
      </c>
      <c r="DH81" s="120" t="inlineStr">
        <is>
          <t/>
        </is>
      </c>
      <c r="DI81" s="121" t="inlineStr">
        <is>
          <t/>
        </is>
      </c>
      <c r="DJ81" s="122" t="inlineStr">
        <is>
          <t/>
        </is>
      </c>
      <c r="DK81" s="123" t="inlineStr">
        <is>
          <t/>
        </is>
      </c>
      <c r="DL81" s="124" t="inlineStr">
        <is>
          <t/>
        </is>
      </c>
      <c r="DM81" s="125" t="inlineStr">
        <is>
          <t/>
        </is>
      </c>
      <c r="DN81" s="126" t="inlineStr">
        <is>
          <t/>
        </is>
      </c>
      <c r="DO81" s="127" t="inlineStr">
        <is>
          <t/>
        </is>
      </c>
      <c r="DP81" s="128" t="inlineStr">
        <is>
          <t/>
        </is>
      </c>
      <c r="DQ81" s="129" t="inlineStr">
        <is>
          <t/>
        </is>
      </c>
      <c r="DR81" s="130" t="inlineStr">
        <is>
          <t/>
        </is>
      </c>
      <c r="DS81" s="131" t="inlineStr">
        <is>
          <t/>
        </is>
      </c>
      <c r="DT81" s="132" t="inlineStr">
        <is>
          <t/>
        </is>
      </c>
      <c r="DU81" s="133" t="inlineStr">
        <is>
          <t/>
        </is>
      </c>
      <c r="DV81" s="134" t="inlineStr">
        <is>
          <t/>
        </is>
      </c>
      <c r="DW81" s="135" t="inlineStr">
        <is>
          <t/>
        </is>
      </c>
      <c r="DX81" s="136" t="inlineStr">
        <is>
          <t/>
        </is>
      </c>
      <c r="DY81" s="137" t="inlineStr">
        <is>
          <t>PitchBook Research</t>
        </is>
      </c>
      <c r="DZ81" s="785">
        <f>HYPERLINK("https://my.pitchbook.com?c=222438-52", "View company online")</f>
      </c>
    </row>
    <row r="82">
      <c r="A82" s="139" t="inlineStr">
        <is>
          <t>168552-10</t>
        </is>
      </c>
      <c r="B82" s="140" t="inlineStr">
        <is>
          <t>Cara (Medical Tech)</t>
        </is>
      </c>
      <c r="C82" s="141" t="inlineStr">
        <is>
          <t/>
        </is>
      </c>
      <c r="D82" s="142" t="inlineStr">
        <is>
          <t/>
        </is>
      </c>
      <c r="E82" s="143" t="inlineStr">
        <is>
          <t>168552-10</t>
        </is>
      </c>
      <c r="F82" s="144" t="inlineStr">
        <is>
          <t>Developer of a virtual health adviser application designed to help people with chronic digestive disorders. The company's mobile application helps users to track custom dishes or pick food items from a large database, among other categories, people can record e.g. pain, bloating, emotions or stress, it correlates symptoms and helps the user understand patterns, enabling patients to take control of their health.</t>
        </is>
      </c>
      <c r="G82" s="145" t="inlineStr">
        <is>
          <t>Healthcare</t>
        </is>
      </c>
      <c r="H82" s="146" t="inlineStr">
        <is>
          <t>Other Healthcare</t>
        </is>
      </c>
      <c r="I82" s="147" t="inlineStr">
        <is>
          <t>Other Healthcare</t>
        </is>
      </c>
      <c r="J82" s="148" t="inlineStr">
        <is>
          <t>Other Healthcare*; Application Software</t>
        </is>
      </c>
      <c r="K82" s="149" t="inlineStr">
        <is>
          <t>HealthTech, Mobile</t>
        </is>
      </c>
      <c r="L82" s="150" t="inlineStr">
        <is>
          <t>Venture Capital-Backed</t>
        </is>
      </c>
      <c r="M82" s="151" t="n">
        <v>1.68</v>
      </c>
      <c r="N82" s="152" t="inlineStr">
        <is>
          <t>Startup</t>
        </is>
      </c>
      <c r="O82" s="153" t="inlineStr">
        <is>
          <t>Privately Held (backing)</t>
        </is>
      </c>
      <c r="P82" s="154" t="inlineStr">
        <is>
          <t>Venture Capital</t>
        </is>
      </c>
      <c r="Q82" s="155" t="inlineStr">
        <is>
          <t>www.gohidoc.com</t>
        </is>
      </c>
      <c r="R82" s="156" t="n">
        <v>7.0</v>
      </c>
      <c r="S82" s="157" t="inlineStr">
        <is>
          <t/>
        </is>
      </c>
      <c r="T82" s="158" t="inlineStr">
        <is>
          <t/>
        </is>
      </c>
      <c r="U82" s="159" t="n">
        <v>2015.0</v>
      </c>
      <c r="V82" s="160" t="inlineStr">
        <is>
          <t/>
        </is>
      </c>
      <c r="W82" s="161" t="inlineStr">
        <is>
          <t/>
        </is>
      </c>
      <c r="X82" s="162" t="inlineStr">
        <is>
          <t/>
        </is>
      </c>
      <c r="Y82" s="163" t="inlineStr">
        <is>
          <t/>
        </is>
      </c>
      <c r="Z82" s="164" t="inlineStr">
        <is>
          <t/>
        </is>
      </c>
      <c r="AA82" s="165" t="inlineStr">
        <is>
          <t/>
        </is>
      </c>
      <c r="AB82" s="166" t="inlineStr">
        <is>
          <t/>
        </is>
      </c>
      <c r="AC82" s="167" t="inlineStr">
        <is>
          <t/>
        </is>
      </c>
      <c r="AD82" s="168" t="inlineStr">
        <is>
          <t/>
        </is>
      </c>
      <c r="AE82" s="169" t="inlineStr">
        <is>
          <t>151125-85P</t>
        </is>
      </c>
      <c r="AF82" s="170" t="inlineStr">
        <is>
          <t>André Sommer</t>
        </is>
      </c>
      <c r="AG82" s="171" t="inlineStr">
        <is>
          <t>Co-Founder &amp; Managing Director</t>
        </is>
      </c>
      <c r="AH82" s="172" t="inlineStr">
        <is>
          <t>andre@gohidoc.com</t>
        </is>
      </c>
      <c r="AI82" s="173" t="inlineStr">
        <is>
          <t/>
        </is>
      </c>
      <c r="AJ82" s="174" t="inlineStr">
        <is>
          <t>Berlin, Germany</t>
        </is>
      </c>
      <c r="AK82" s="175" t="inlineStr">
        <is>
          <t>Torstraße 33</t>
        </is>
      </c>
      <c r="AL82" s="176" t="inlineStr">
        <is>
          <t/>
        </is>
      </c>
      <c r="AM82" s="177" t="inlineStr">
        <is>
          <t>Berlin</t>
        </is>
      </c>
      <c r="AN82" s="178" t="inlineStr">
        <is>
          <t/>
        </is>
      </c>
      <c r="AO82" s="179" t="inlineStr">
        <is>
          <t/>
        </is>
      </c>
      <c r="AP82" s="180" t="inlineStr">
        <is>
          <t>Germany</t>
        </is>
      </c>
      <c r="AQ82" s="181" t="inlineStr">
        <is>
          <t/>
        </is>
      </c>
      <c r="AR82" s="182" t="inlineStr">
        <is>
          <t/>
        </is>
      </c>
      <c r="AS82" s="183" t="inlineStr">
        <is>
          <t>hello@cara-app.com</t>
        </is>
      </c>
      <c r="AT82" s="184" t="inlineStr">
        <is>
          <t>Europe</t>
        </is>
      </c>
      <c r="AU82" s="185" t="inlineStr">
        <is>
          <t>Western Europe</t>
        </is>
      </c>
      <c r="AV82" s="186" t="inlineStr">
        <is>
          <t>The company raised $2 million of seed funding led by Atlantic Labs on September 1, 2017. Other undisclosed angel investors also participated in the round. The company will use the funding to launch the first precision medicine solution for digestive health.</t>
        </is>
      </c>
      <c r="AW82" s="187" t="inlineStr">
        <is>
          <t>Atlantic Labs, Grants4Apps, Microsoft Accelerator</t>
        </is>
      </c>
      <c r="AX82" s="188" t="n">
        <v>3.0</v>
      </c>
      <c r="AY82" s="189" t="inlineStr">
        <is>
          <t/>
        </is>
      </c>
      <c r="AZ82" s="190" t="inlineStr">
        <is>
          <t/>
        </is>
      </c>
      <c r="BA82" s="191" t="inlineStr">
        <is>
          <t/>
        </is>
      </c>
      <c r="BB82" s="192" t="inlineStr">
        <is>
          <t>Atlantic Labs (www.atlanticlabs.de), Grants4Apps (www.grants4apps.com), Microsoft Accelerator (www.microsoftaccelerator.com)</t>
        </is>
      </c>
      <c r="BC82" s="193" t="inlineStr">
        <is>
          <t/>
        </is>
      </c>
      <c r="BD82" s="194" t="inlineStr">
        <is>
          <t/>
        </is>
      </c>
      <c r="BE82" s="195" t="inlineStr">
        <is>
          <t/>
        </is>
      </c>
      <c r="BF82" s="196" t="inlineStr">
        <is>
          <t/>
        </is>
      </c>
      <c r="BG82" s="197" t="n">
        <v>42550.0</v>
      </c>
      <c r="BH82" s="198" t="inlineStr">
        <is>
          <t/>
        </is>
      </c>
      <c r="BI82" s="199" t="inlineStr">
        <is>
          <t/>
        </is>
      </c>
      <c r="BJ82" s="200" t="inlineStr">
        <is>
          <t/>
        </is>
      </c>
      <c r="BK82" s="201" t="inlineStr">
        <is>
          <t/>
        </is>
      </c>
      <c r="BL82" s="202" t="inlineStr">
        <is>
          <t>Accelerator/Incubator</t>
        </is>
      </c>
      <c r="BM82" s="203" t="inlineStr">
        <is>
          <t/>
        </is>
      </c>
      <c r="BN82" s="204" t="inlineStr">
        <is>
          <t/>
        </is>
      </c>
      <c r="BO82" s="205" t="inlineStr">
        <is>
          <t>Other</t>
        </is>
      </c>
      <c r="BP82" s="206" t="inlineStr">
        <is>
          <t/>
        </is>
      </c>
      <c r="BQ82" s="207" t="inlineStr">
        <is>
          <t/>
        </is>
      </c>
      <c r="BR82" s="208" t="inlineStr">
        <is>
          <t/>
        </is>
      </c>
      <c r="BS82" s="209" t="inlineStr">
        <is>
          <t>Completed</t>
        </is>
      </c>
      <c r="BT82" s="210" t="n">
        <v>42979.0</v>
      </c>
      <c r="BU82" s="211" t="n">
        <v>1.68</v>
      </c>
      <c r="BV82" s="212" t="inlineStr">
        <is>
          <t>Actual</t>
        </is>
      </c>
      <c r="BW82" s="213" t="inlineStr">
        <is>
          <t/>
        </is>
      </c>
      <c r="BX82" s="214" t="inlineStr">
        <is>
          <t/>
        </is>
      </c>
      <c r="BY82" s="215" t="inlineStr">
        <is>
          <t>Seed Round</t>
        </is>
      </c>
      <c r="BZ82" s="216" t="inlineStr">
        <is>
          <t>Seed</t>
        </is>
      </c>
      <c r="CA82" s="217" t="inlineStr">
        <is>
          <t/>
        </is>
      </c>
      <c r="CB82" s="218" t="inlineStr">
        <is>
          <t>Venture Capital</t>
        </is>
      </c>
      <c r="CC82" s="219" t="inlineStr">
        <is>
          <t/>
        </is>
      </c>
      <c r="CD82" s="220" t="inlineStr">
        <is>
          <t/>
        </is>
      </c>
      <c r="CE82" s="221" t="inlineStr">
        <is>
          <t/>
        </is>
      </c>
      <c r="CF82" s="222" t="inlineStr">
        <is>
          <t>Completed</t>
        </is>
      </c>
      <c r="CG82" s="223" t="inlineStr">
        <is>
          <t>0,14%</t>
        </is>
      </c>
      <c r="CH82" s="224" t="inlineStr">
        <is>
          <t>84</t>
        </is>
      </c>
      <c r="CI82" s="225" t="inlineStr">
        <is>
          <t>-0,01%</t>
        </is>
      </c>
      <c r="CJ82" s="226" t="inlineStr">
        <is>
          <t>-9,17%</t>
        </is>
      </c>
      <c r="CK82" s="227" t="inlineStr">
        <is>
          <t>0,00%</t>
        </is>
      </c>
      <c r="CL82" s="228" t="inlineStr">
        <is>
          <t>28</t>
        </is>
      </c>
      <c r="CM82" s="229" t="inlineStr">
        <is>
          <t>0,28%</t>
        </is>
      </c>
      <c r="CN82" s="230" t="inlineStr">
        <is>
          <t>78</t>
        </is>
      </c>
      <c r="CO82" s="231" t="inlineStr">
        <is>
          <t>0,00%</t>
        </is>
      </c>
      <c r="CP82" s="232" t="inlineStr">
        <is>
          <t>37</t>
        </is>
      </c>
      <c r="CQ82" s="233" t="inlineStr">
        <is>
          <t>0,00%</t>
        </is>
      </c>
      <c r="CR82" s="234" t="inlineStr">
        <is>
          <t>20</t>
        </is>
      </c>
      <c r="CS82" s="235" t="inlineStr">
        <is>
          <t>0,28%</t>
        </is>
      </c>
      <c r="CT82" s="236" t="inlineStr">
        <is>
          <t>76</t>
        </is>
      </c>
      <c r="CU82" s="237" t="inlineStr">
        <is>
          <t/>
        </is>
      </c>
      <c r="CV82" s="238" t="inlineStr">
        <is>
          <t/>
        </is>
      </c>
      <c r="CW82" s="239" t="inlineStr">
        <is>
          <t>0,43x</t>
        </is>
      </c>
      <c r="CX82" s="240" t="inlineStr">
        <is>
          <t>29</t>
        </is>
      </c>
      <c r="CY82" s="241" t="inlineStr">
        <is>
          <t>0,00x</t>
        </is>
      </c>
      <c r="CZ82" s="242" t="inlineStr">
        <is>
          <t>1,13%</t>
        </is>
      </c>
      <c r="DA82" s="243" t="inlineStr">
        <is>
          <t>0,28x</t>
        </is>
      </c>
      <c r="DB82" s="244" t="inlineStr">
        <is>
          <t>23</t>
        </is>
      </c>
      <c r="DC82" s="245" t="inlineStr">
        <is>
          <t>0,57x</t>
        </is>
      </c>
      <c r="DD82" s="246" t="inlineStr">
        <is>
          <t>38</t>
        </is>
      </c>
      <c r="DE82" s="247" t="inlineStr">
        <is>
          <t>0,25x</t>
        </is>
      </c>
      <c r="DF82" s="248" t="inlineStr">
        <is>
          <t>18</t>
        </is>
      </c>
      <c r="DG82" s="249" t="inlineStr">
        <is>
          <t>0,31x</t>
        </is>
      </c>
      <c r="DH82" s="250" t="inlineStr">
        <is>
          <t>26</t>
        </is>
      </c>
      <c r="DI82" s="251" t="inlineStr">
        <is>
          <t>0,57x</t>
        </is>
      </c>
      <c r="DJ82" s="252" t="inlineStr">
        <is>
          <t>41</t>
        </is>
      </c>
      <c r="DK82" s="253" t="inlineStr">
        <is>
          <t/>
        </is>
      </c>
      <c r="DL82" s="254" t="inlineStr">
        <is>
          <t/>
        </is>
      </c>
      <c r="DM82" s="255" t="inlineStr">
        <is>
          <t>119</t>
        </is>
      </c>
      <c r="DN82" s="256" t="inlineStr">
        <is>
          <t>-78</t>
        </is>
      </c>
      <c r="DO82" s="257" t="inlineStr">
        <is>
          <t>-39,59%</t>
        </is>
      </c>
      <c r="DP82" s="258" t="inlineStr">
        <is>
          <t>454</t>
        </is>
      </c>
      <c r="DQ82" s="259" t="inlineStr">
        <is>
          <t>0</t>
        </is>
      </c>
      <c r="DR82" s="260" t="inlineStr">
        <is>
          <t>0,00%</t>
        </is>
      </c>
      <c r="DS82" s="261" t="inlineStr">
        <is>
          <t>10</t>
        </is>
      </c>
      <c r="DT82" s="262" t="inlineStr">
        <is>
          <t>0</t>
        </is>
      </c>
      <c r="DU82" s="263" t="inlineStr">
        <is>
          <t>0,00%</t>
        </is>
      </c>
      <c r="DV82" s="264" t="inlineStr">
        <is>
          <t>4.348</t>
        </is>
      </c>
      <c r="DW82" s="265" t="inlineStr">
        <is>
          <t>5</t>
        </is>
      </c>
      <c r="DX82" s="266" t="inlineStr">
        <is>
          <t>0,12%</t>
        </is>
      </c>
      <c r="DY82" s="267" t="inlineStr">
        <is>
          <t>PitchBook Research</t>
        </is>
      </c>
      <c r="DZ82" s="786">
        <f>HYPERLINK("https://my.pitchbook.com?c=168552-10", "View company online")</f>
      </c>
    </row>
    <row r="83">
      <c r="A83" s="9" t="inlineStr">
        <is>
          <t>107869-42</t>
        </is>
      </c>
      <c r="B83" s="10" t="inlineStr">
        <is>
          <t>miPic</t>
        </is>
      </c>
      <c r="C83" s="11" t="inlineStr">
        <is>
          <t/>
        </is>
      </c>
      <c r="D83" s="12" t="inlineStr">
        <is>
          <t/>
        </is>
      </c>
      <c r="E83" s="13" t="inlineStr">
        <is>
          <t>107869-42</t>
        </is>
      </c>
      <c r="F83" s="14" t="inlineStr">
        <is>
          <t>Provider an online photo marketplace intended to help people to print, buy and sell their images. The company's platform offers products including printed swimsuits, custom beach towels, printed T-shirts, tote bags, canvas prints, iPhone 7 cases and Galaxy S8 cases, enabling mobile artists and photographers to share and monetise their pictures by selling premium art and fashion to a global audience.</t>
        </is>
      </c>
      <c r="G83" s="15" t="inlineStr">
        <is>
          <t>Consumer Products and Services (B2C)</t>
        </is>
      </c>
      <c r="H83" s="16" t="inlineStr">
        <is>
          <t>Retail</t>
        </is>
      </c>
      <c r="I83" s="17" t="inlineStr">
        <is>
          <t>Internet Retail</t>
        </is>
      </c>
      <c r="J83" s="18" t="inlineStr">
        <is>
          <t>Internet Retail*; Other Consumer Durables; Social/Platform Software</t>
        </is>
      </c>
      <c r="K83" s="19" t="inlineStr">
        <is>
          <t>E-Commerce, Mobile</t>
        </is>
      </c>
      <c r="L83" s="20" t="inlineStr">
        <is>
          <t>Angel-Backed</t>
        </is>
      </c>
      <c r="M83" s="21" t="n">
        <v>1.7</v>
      </c>
      <c r="N83" s="22" t="inlineStr">
        <is>
          <t>Generating Revenue</t>
        </is>
      </c>
      <c r="O83" s="23" t="inlineStr">
        <is>
          <t>Privately Held (backing)</t>
        </is>
      </c>
      <c r="P83" s="24" t="inlineStr">
        <is>
          <t>Pre-venture, M&amp;A</t>
        </is>
      </c>
      <c r="Q83" s="25" t="inlineStr">
        <is>
          <t>www.mipic.co</t>
        </is>
      </c>
      <c r="R83" s="26" t="n">
        <v>3.0</v>
      </c>
      <c r="S83" s="27" t="inlineStr">
        <is>
          <t/>
        </is>
      </c>
      <c r="T83" s="28" t="inlineStr">
        <is>
          <t/>
        </is>
      </c>
      <c r="U83" s="29" t="n">
        <v>2014.0</v>
      </c>
      <c r="V83" s="30" t="inlineStr">
        <is>
          <t/>
        </is>
      </c>
      <c r="W83" s="31" t="inlineStr">
        <is>
          <t/>
        </is>
      </c>
      <c r="X83" s="32" t="inlineStr">
        <is>
          <t/>
        </is>
      </c>
      <c r="Y83" s="33" t="inlineStr">
        <is>
          <t/>
        </is>
      </c>
      <c r="Z83" s="34" t="inlineStr">
        <is>
          <t/>
        </is>
      </c>
      <c r="AA83" s="35" t="inlineStr">
        <is>
          <t/>
        </is>
      </c>
      <c r="AB83" s="36" t="inlineStr">
        <is>
          <t/>
        </is>
      </c>
      <c r="AC83" s="37" t="inlineStr">
        <is>
          <t/>
        </is>
      </c>
      <c r="AD83" s="38" t="inlineStr">
        <is>
          <t/>
        </is>
      </c>
      <c r="AE83" s="39" t="inlineStr">
        <is>
          <t>92583-46P</t>
        </is>
      </c>
      <c r="AF83" s="40" t="inlineStr">
        <is>
          <t>Carl Thomas</t>
        </is>
      </c>
      <c r="AG83" s="41" t="inlineStr">
        <is>
          <t>Founder &amp; Chief Executive Officer</t>
        </is>
      </c>
      <c r="AH83" s="42" t="inlineStr">
        <is>
          <t>carl@mipic.co</t>
        </is>
      </c>
      <c r="AI83" s="43" t="inlineStr">
        <is>
          <t/>
        </is>
      </c>
      <c r="AJ83" s="44" t="inlineStr">
        <is>
          <t>London, United Kingdom</t>
        </is>
      </c>
      <c r="AK83" s="45" t="inlineStr">
        <is>
          <t>20-22 Wenlock Road</t>
        </is>
      </c>
      <c r="AL83" s="46" t="inlineStr">
        <is>
          <t/>
        </is>
      </c>
      <c r="AM83" s="47" t="inlineStr">
        <is>
          <t>London</t>
        </is>
      </c>
      <c r="AN83" s="48" t="inlineStr">
        <is>
          <t>England</t>
        </is>
      </c>
      <c r="AO83" s="49" t="inlineStr">
        <is>
          <t>N1 7GU</t>
        </is>
      </c>
      <c r="AP83" s="50" t="inlineStr">
        <is>
          <t>United Kingdom</t>
        </is>
      </c>
      <c r="AQ83" s="51" t="inlineStr">
        <is>
          <t/>
        </is>
      </c>
      <c r="AR83" s="52" t="inlineStr">
        <is>
          <t/>
        </is>
      </c>
      <c r="AS83" s="53" t="inlineStr">
        <is>
          <t>info@mipic.co</t>
        </is>
      </c>
      <c r="AT83" s="54" t="inlineStr">
        <is>
          <t>Europe</t>
        </is>
      </c>
      <c r="AU83" s="55" t="inlineStr">
        <is>
          <t>Western Europe</t>
        </is>
      </c>
      <c r="AV83" s="56" t="inlineStr">
        <is>
          <t>The company received GBP 1.3 million of seed funding from Sage Technologies Limited on October 7, 2017. The funding will be used to continue to expand operations and business reach.</t>
        </is>
      </c>
      <c r="AW83" s="57" t="inlineStr">
        <is>
          <t>Sage Technologies Limited</t>
        </is>
      </c>
      <c r="AX83" s="58" t="n">
        <v>1.0</v>
      </c>
      <c r="AY83" s="59" t="inlineStr">
        <is>
          <t/>
        </is>
      </c>
      <c r="AZ83" s="60" t="inlineStr">
        <is>
          <t/>
        </is>
      </c>
      <c r="BA83" s="61" t="inlineStr">
        <is>
          <t/>
        </is>
      </c>
      <c r="BB83" s="62" t="inlineStr">
        <is>
          <t/>
        </is>
      </c>
      <c r="BC83" s="63" t="inlineStr">
        <is>
          <t/>
        </is>
      </c>
      <c r="BD83" s="64" t="inlineStr">
        <is>
          <t/>
        </is>
      </c>
      <c r="BE83" s="65" t="inlineStr">
        <is>
          <t/>
        </is>
      </c>
      <c r="BF83" s="66" t="inlineStr">
        <is>
          <t>Crowdcube (Lead Manager or Arranger)</t>
        </is>
      </c>
      <c r="BG83" s="67" t="n">
        <v>42048.0</v>
      </c>
      <c r="BH83" s="68" t="n">
        <v>0.24</v>
      </c>
      <c r="BI83" s="69" t="inlineStr">
        <is>
          <t>Actual</t>
        </is>
      </c>
      <c r="BJ83" s="70" t="n">
        <v>1.43</v>
      </c>
      <c r="BK83" s="71" t="inlineStr">
        <is>
          <t>Actual</t>
        </is>
      </c>
      <c r="BL83" s="72" t="inlineStr">
        <is>
          <t>Angel (individual)</t>
        </is>
      </c>
      <c r="BM83" s="73" t="inlineStr">
        <is>
          <t>Angel</t>
        </is>
      </c>
      <c r="BN83" s="74" t="inlineStr">
        <is>
          <t/>
        </is>
      </c>
      <c r="BO83" s="75" t="inlineStr">
        <is>
          <t>Individual</t>
        </is>
      </c>
      <c r="BP83" s="76" t="inlineStr">
        <is>
          <t/>
        </is>
      </c>
      <c r="BQ83" s="77" t="inlineStr">
        <is>
          <t/>
        </is>
      </c>
      <c r="BR83" s="78" t="inlineStr">
        <is>
          <t/>
        </is>
      </c>
      <c r="BS83" s="79" t="inlineStr">
        <is>
          <t>Completed</t>
        </is>
      </c>
      <c r="BT83" s="80" t="n">
        <v>43015.0</v>
      </c>
      <c r="BU83" s="81" t="n">
        <v>1.46</v>
      </c>
      <c r="BV83" s="82" t="inlineStr">
        <is>
          <t>Actual</t>
        </is>
      </c>
      <c r="BW83" s="83" t="inlineStr">
        <is>
          <t/>
        </is>
      </c>
      <c r="BX83" s="84" t="inlineStr">
        <is>
          <t/>
        </is>
      </c>
      <c r="BY83" s="85" t="inlineStr">
        <is>
          <t>Seed Round</t>
        </is>
      </c>
      <c r="BZ83" s="86" t="inlineStr">
        <is>
          <t>Seed</t>
        </is>
      </c>
      <c r="CA83" s="87" t="inlineStr">
        <is>
          <t/>
        </is>
      </c>
      <c r="CB83" s="88" t="inlineStr">
        <is>
          <t>Corporate</t>
        </is>
      </c>
      <c r="CC83" s="89" t="inlineStr">
        <is>
          <t/>
        </is>
      </c>
      <c r="CD83" s="90" t="inlineStr">
        <is>
          <t/>
        </is>
      </c>
      <c r="CE83" s="91" t="inlineStr">
        <is>
          <t/>
        </is>
      </c>
      <c r="CF83" s="92" t="inlineStr">
        <is>
          <t>Completed</t>
        </is>
      </c>
      <c r="CG83" s="93" t="inlineStr">
        <is>
          <t>-0,51%</t>
        </is>
      </c>
      <c r="CH83" s="94" t="inlineStr">
        <is>
          <t>18</t>
        </is>
      </c>
      <c r="CI83" s="95" t="inlineStr">
        <is>
          <t>-1,06%</t>
        </is>
      </c>
      <c r="CJ83" s="96" t="inlineStr">
        <is>
          <t>-192,23%</t>
        </is>
      </c>
      <c r="CK83" s="97" t="inlineStr">
        <is>
          <t>-3,09%</t>
        </is>
      </c>
      <c r="CL83" s="98" t="inlineStr">
        <is>
          <t>11</t>
        </is>
      </c>
      <c r="CM83" s="99" t="inlineStr">
        <is>
          <t>2,08%</t>
        </is>
      </c>
      <c r="CN83" s="100" t="inlineStr">
        <is>
          <t>99</t>
        </is>
      </c>
      <c r="CO83" s="101" t="inlineStr">
        <is>
          <t>-6,57%</t>
        </is>
      </c>
      <c r="CP83" s="102" t="inlineStr">
        <is>
          <t>18</t>
        </is>
      </c>
      <c r="CQ83" s="103" t="inlineStr">
        <is>
          <t>0,39%</t>
        </is>
      </c>
      <c r="CR83" s="104" t="inlineStr">
        <is>
          <t>91</t>
        </is>
      </c>
      <c r="CS83" s="105" t="inlineStr">
        <is>
          <t>3,92%</t>
        </is>
      </c>
      <c r="CT83" s="106" t="inlineStr">
        <is>
          <t>100</t>
        </is>
      </c>
      <c r="CU83" s="107" t="inlineStr">
        <is>
          <t>0,23%</t>
        </is>
      </c>
      <c r="CV83" s="108" t="inlineStr">
        <is>
          <t>79</t>
        </is>
      </c>
      <c r="CW83" s="109" t="inlineStr">
        <is>
          <t>10,56x</t>
        </is>
      </c>
      <c r="CX83" s="110" t="inlineStr">
        <is>
          <t>88</t>
        </is>
      </c>
      <c r="CY83" s="111" t="inlineStr">
        <is>
          <t>-0,06x</t>
        </is>
      </c>
      <c r="CZ83" s="112" t="inlineStr">
        <is>
          <t>-0,52%</t>
        </is>
      </c>
      <c r="DA83" s="113" t="inlineStr">
        <is>
          <t>2,14x</t>
        </is>
      </c>
      <c r="DB83" s="114" t="inlineStr">
        <is>
          <t>68</t>
        </is>
      </c>
      <c r="DC83" s="115" t="inlineStr">
        <is>
          <t>18,97x</t>
        </is>
      </c>
      <c r="DD83" s="116" t="inlineStr">
        <is>
          <t>89</t>
        </is>
      </c>
      <c r="DE83" s="117" t="inlineStr">
        <is>
          <t>0,62x</t>
        </is>
      </c>
      <c r="DF83" s="118" t="inlineStr">
        <is>
          <t>39</t>
        </is>
      </c>
      <c r="DG83" s="119" t="inlineStr">
        <is>
          <t>3,67x</t>
        </is>
      </c>
      <c r="DH83" s="120" t="inlineStr">
        <is>
          <t>75</t>
        </is>
      </c>
      <c r="DI83" s="121" t="inlineStr">
        <is>
          <t>33,67x</t>
        </is>
      </c>
      <c r="DJ83" s="122" t="inlineStr">
        <is>
          <t>90</t>
        </is>
      </c>
      <c r="DK83" s="123" t="inlineStr">
        <is>
          <t>4,28x</t>
        </is>
      </c>
      <c r="DL83" s="124" t="inlineStr">
        <is>
          <t>77</t>
        </is>
      </c>
      <c r="DM83" s="125" t="inlineStr">
        <is>
          <t>232</t>
        </is>
      </c>
      <c r="DN83" s="126" t="inlineStr">
        <is>
          <t>-8</t>
        </is>
      </c>
      <c r="DO83" s="127" t="inlineStr">
        <is>
          <t>-3,33%</t>
        </is>
      </c>
      <c r="DP83" s="128" t="inlineStr">
        <is>
          <t>26.627</t>
        </is>
      </c>
      <c r="DQ83" s="129" t="inlineStr">
        <is>
          <t>46</t>
        </is>
      </c>
      <c r="DR83" s="130" t="inlineStr">
        <is>
          <t>0,17%</t>
        </is>
      </c>
      <c r="DS83" s="131" t="inlineStr">
        <is>
          <t>132</t>
        </is>
      </c>
      <c r="DT83" s="132" t="inlineStr">
        <is>
          <t>1</t>
        </is>
      </c>
      <c r="DU83" s="133" t="inlineStr">
        <is>
          <t>0,76%</t>
        </is>
      </c>
      <c r="DV83" s="134" t="inlineStr">
        <is>
          <t>1.600</t>
        </is>
      </c>
      <c r="DW83" s="135" t="inlineStr">
        <is>
          <t>3</t>
        </is>
      </c>
      <c r="DX83" s="136" t="inlineStr">
        <is>
          <t>0,19%</t>
        </is>
      </c>
      <c r="DY83" s="137" t="inlineStr">
        <is>
          <t>PitchBook Research</t>
        </is>
      </c>
      <c r="DZ83" s="785">
        <f>HYPERLINK("https://my.pitchbook.com?c=107869-42", "View company online")</f>
      </c>
    </row>
    <row r="84">
      <c r="A84" s="139" t="inlineStr">
        <is>
          <t>187724-26</t>
        </is>
      </c>
      <c r="B84" s="140" t="inlineStr">
        <is>
          <t>Connect (social app)</t>
        </is>
      </c>
      <c r="C84" s="141" t="inlineStr">
        <is>
          <t/>
        </is>
      </c>
      <c r="D84" s="142" t="inlineStr">
        <is>
          <t>Cnnct</t>
        </is>
      </c>
      <c r="E84" s="143" t="inlineStr">
        <is>
          <t>187724-26</t>
        </is>
      </c>
      <c r="F84" s="144" t="inlineStr">
        <is>
          <t>Developer of a chat-based mobile application designed to discover new cities through video chats. The company's application lets its users start online communication through live videos, send photos, record actions and share custom edited videos with their friends in real-time, enabling users to travel around cities and countries, see people of various backgrounds and outlooks and make new friends anytime anyplace.</t>
        </is>
      </c>
      <c r="G84" s="145" t="inlineStr">
        <is>
          <t>Information Technology</t>
        </is>
      </c>
      <c r="H84" s="146" t="inlineStr">
        <is>
          <t>Software</t>
        </is>
      </c>
      <c r="I84" s="147" t="inlineStr">
        <is>
          <t>Application Software</t>
        </is>
      </c>
      <c r="J84" s="148" t="inlineStr">
        <is>
          <t>Application Software*; Communication Software; Social/Platform Software</t>
        </is>
      </c>
      <c r="K84" s="149" t="inlineStr">
        <is>
          <t>Mobile</t>
        </is>
      </c>
      <c r="L84" s="150" t="inlineStr">
        <is>
          <t>Accelerator/Incubator Backed</t>
        </is>
      </c>
      <c r="M84" s="151" t="n">
        <v>1.7</v>
      </c>
      <c r="N84" s="152" t="inlineStr">
        <is>
          <t>Generating Revenue</t>
        </is>
      </c>
      <c r="O84" s="153" t="inlineStr">
        <is>
          <t>Privately Held (backing)</t>
        </is>
      </c>
      <c r="P84" s="154" t="inlineStr">
        <is>
          <t>Pre-venture</t>
        </is>
      </c>
      <c r="Q84" s="155" t="inlineStr">
        <is>
          <t>www.connect.club</t>
        </is>
      </c>
      <c r="R84" s="156" t="inlineStr">
        <is>
          <t/>
        </is>
      </c>
      <c r="S84" s="157" t="inlineStr">
        <is>
          <t/>
        </is>
      </c>
      <c r="T84" s="158" t="inlineStr">
        <is>
          <t/>
        </is>
      </c>
      <c r="U84" s="159" t="n">
        <v>2015.0</v>
      </c>
      <c r="V84" s="160" t="inlineStr">
        <is>
          <t/>
        </is>
      </c>
      <c r="W84" s="161" t="inlineStr">
        <is>
          <t/>
        </is>
      </c>
      <c r="X84" s="162" t="inlineStr">
        <is>
          <t/>
        </is>
      </c>
      <c r="Y84" s="163" t="inlineStr">
        <is>
          <t/>
        </is>
      </c>
      <c r="Z84" s="164" t="inlineStr">
        <is>
          <t/>
        </is>
      </c>
      <c r="AA84" s="165" t="inlineStr">
        <is>
          <t/>
        </is>
      </c>
      <c r="AB84" s="166" t="inlineStr">
        <is>
          <t/>
        </is>
      </c>
      <c r="AC84" s="167" t="inlineStr">
        <is>
          <t/>
        </is>
      </c>
      <c r="AD84" s="168" t="inlineStr">
        <is>
          <t/>
        </is>
      </c>
      <c r="AE84" s="169" t="inlineStr">
        <is>
          <t>172071-91P</t>
        </is>
      </c>
      <c r="AF84" s="170" t="inlineStr">
        <is>
          <t>Igor Monakhov</t>
        </is>
      </c>
      <c r="AG84" s="171" t="inlineStr">
        <is>
          <t>Founder</t>
        </is>
      </c>
      <c r="AH84" s="172" t="inlineStr">
        <is>
          <t>im@connect.club</t>
        </is>
      </c>
      <c r="AI84" s="173" t="inlineStr">
        <is>
          <t/>
        </is>
      </c>
      <c r="AJ84" s="174" t="inlineStr">
        <is>
          <t>Cyprus</t>
        </is>
      </c>
      <c r="AK84" s="175" t="inlineStr">
        <is>
          <t/>
        </is>
      </c>
      <c r="AL84" s="176" t="inlineStr">
        <is>
          <t/>
        </is>
      </c>
      <c r="AM84" s="177" t="inlineStr">
        <is>
          <t/>
        </is>
      </c>
      <c r="AN84" s="178" t="inlineStr">
        <is>
          <t/>
        </is>
      </c>
      <c r="AO84" s="179" t="inlineStr">
        <is>
          <t/>
        </is>
      </c>
      <c r="AP84" s="180" t="inlineStr">
        <is>
          <t>Cyprus</t>
        </is>
      </c>
      <c r="AQ84" s="181" t="inlineStr">
        <is>
          <t/>
        </is>
      </c>
      <c r="AR84" s="182" t="inlineStr">
        <is>
          <t/>
        </is>
      </c>
      <c r="AS84" s="183" t="inlineStr">
        <is>
          <t/>
        </is>
      </c>
      <c r="AT84" s="184" t="inlineStr">
        <is>
          <t>Europe</t>
        </is>
      </c>
      <c r="AU84" s="185" t="inlineStr">
        <is>
          <t>Eastern Europe</t>
        </is>
      </c>
      <c r="AV84" s="186" t="inlineStr">
        <is>
          <t>The company joined Embria and received $2 million in funding on October 4, 2017.</t>
        </is>
      </c>
      <c r="AW84" s="187" t="inlineStr">
        <is>
          <t>Embria</t>
        </is>
      </c>
      <c r="AX84" s="188" t="n">
        <v>1.0</v>
      </c>
      <c r="AY84" s="189" t="inlineStr">
        <is>
          <t/>
        </is>
      </c>
      <c r="AZ84" s="190" t="inlineStr">
        <is>
          <t/>
        </is>
      </c>
      <c r="BA84" s="191" t="inlineStr">
        <is>
          <t/>
        </is>
      </c>
      <c r="BB84" s="192" t="inlineStr">
        <is>
          <t>Embria (www.embria.com)</t>
        </is>
      </c>
      <c r="BC84" s="193" t="inlineStr">
        <is>
          <t/>
        </is>
      </c>
      <c r="BD84" s="194" t="inlineStr">
        <is>
          <t/>
        </is>
      </c>
      <c r="BE84" s="195" t="inlineStr">
        <is>
          <t/>
        </is>
      </c>
      <c r="BF84" s="196" t="inlineStr">
        <is>
          <t/>
        </is>
      </c>
      <c r="BG84" s="197" t="n">
        <v>43012.0</v>
      </c>
      <c r="BH84" s="198" t="n">
        <v>1.7</v>
      </c>
      <c r="BI84" s="199" t="inlineStr">
        <is>
          <t>Actual</t>
        </is>
      </c>
      <c r="BJ84" s="200" t="inlineStr">
        <is>
          <t/>
        </is>
      </c>
      <c r="BK84" s="201" t="inlineStr">
        <is>
          <t/>
        </is>
      </c>
      <c r="BL84" s="202" t="inlineStr">
        <is>
          <t>Accelerator/Incubator</t>
        </is>
      </c>
      <c r="BM84" s="203" t="inlineStr">
        <is>
          <t/>
        </is>
      </c>
      <c r="BN84" s="204" t="inlineStr">
        <is>
          <t/>
        </is>
      </c>
      <c r="BO84" s="205" t="inlineStr">
        <is>
          <t>Other</t>
        </is>
      </c>
      <c r="BP84" s="206" t="inlineStr">
        <is>
          <t/>
        </is>
      </c>
      <c r="BQ84" s="207" t="inlineStr">
        <is>
          <t/>
        </is>
      </c>
      <c r="BR84" s="208" t="inlineStr">
        <is>
          <t/>
        </is>
      </c>
      <c r="BS84" s="209" t="inlineStr">
        <is>
          <t>Completed</t>
        </is>
      </c>
      <c r="BT84" s="210" t="n">
        <v>43012.0</v>
      </c>
      <c r="BU84" s="211" t="n">
        <v>1.7</v>
      </c>
      <c r="BV84" s="212" t="inlineStr">
        <is>
          <t>Actual</t>
        </is>
      </c>
      <c r="BW84" s="213" t="inlineStr">
        <is>
          <t/>
        </is>
      </c>
      <c r="BX84" s="214" t="inlineStr">
        <is>
          <t/>
        </is>
      </c>
      <c r="BY84" s="215" t="inlineStr">
        <is>
          <t>Accelerator/Incubator</t>
        </is>
      </c>
      <c r="BZ84" s="216" t="inlineStr">
        <is>
          <t/>
        </is>
      </c>
      <c r="CA84" s="217" t="inlineStr">
        <is>
          <t/>
        </is>
      </c>
      <c r="CB84" s="218" t="inlineStr">
        <is>
          <t>Other</t>
        </is>
      </c>
      <c r="CC84" s="219" t="inlineStr">
        <is>
          <t/>
        </is>
      </c>
      <c r="CD84" s="220" t="inlineStr">
        <is>
          <t/>
        </is>
      </c>
      <c r="CE84" s="221" t="inlineStr">
        <is>
          <t/>
        </is>
      </c>
      <c r="CF84" s="222" t="inlineStr">
        <is>
          <t>Completed</t>
        </is>
      </c>
      <c r="CG84" s="223" t="inlineStr">
        <is>
          <t/>
        </is>
      </c>
      <c r="CH84" s="224" t="inlineStr">
        <is>
          <t/>
        </is>
      </c>
      <c r="CI84" s="225" t="inlineStr">
        <is>
          <t/>
        </is>
      </c>
      <c r="CJ84" s="226" t="inlineStr">
        <is>
          <t/>
        </is>
      </c>
      <c r="CK84" s="227" t="inlineStr">
        <is>
          <t/>
        </is>
      </c>
      <c r="CL84" s="228" t="inlineStr">
        <is>
          <t/>
        </is>
      </c>
      <c r="CM84" s="229" t="inlineStr">
        <is>
          <t/>
        </is>
      </c>
      <c r="CN84" s="230" t="inlineStr">
        <is>
          <t/>
        </is>
      </c>
      <c r="CO84" s="231" t="inlineStr">
        <is>
          <t/>
        </is>
      </c>
      <c r="CP84" s="232" t="inlineStr">
        <is>
          <t/>
        </is>
      </c>
      <c r="CQ84" s="233" t="inlineStr">
        <is>
          <t/>
        </is>
      </c>
      <c r="CR84" s="234" t="inlineStr">
        <is>
          <t/>
        </is>
      </c>
      <c r="CS84" s="235" t="inlineStr">
        <is>
          <t/>
        </is>
      </c>
      <c r="CT84" s="236" t="inlineStr">
        <is>
          <t/>
        </is>
      </c>
      <c r="CU84" s="237" t="inlineStr">
        <is>
          <t/>
        </is>
      </c>
      <c r="CV84" s="238" t="inlineStr">
        <is>
          <t/>
        </is>
      </c>
      <c r="CW84" s="239" t="inlineStr">
        <is>
          <t/>
        </is>
      </c>
      <c r="CX84" s="240" t="inlineStr">
        <is>
          <t/>
        </is>
      </c>
      <c r="CY84" s="241" t="inlineStr">
        <is>
          <t/>
        </is>
      </c>
      <c r="CZ84" s="242" t="inlineStr">
        <is>
          <t/>
        </is>
      </c>
      <c r="DA84" s="243" t="inlineStr">
        <is>
          <t/>
        </is>
      </c>
      <c r="DB84" s="244" t="inlineStr">
        <is>
          <t/>
        </is>
      </c>
      <c r="DC84" s="245" t="inlineStr">
        <is>
          <t/>
        </is>
      </c>
      <c r="DD84" s="246" t="inlineStr">
        <is>
          <t/>
        </is>
      </c>
      <c r="DE84" s="247" t="inlineStr">
        <is>
          <t/>
        </is>
      </c>
      <c r="DF84" s="248" t="inlineStr">
        <is>
          <t/>
        </is>
      </c>
      <c r="DG84" s="249" t="inlineStr">
        <is>
          <t/>
        </is>
      </c>
      <c r="DH84" s="250" t="inlineStr">
        <is>
          <t/>
        </is>
      </c>
      <c r="DI84" s="251" t="inlineStr">
        <is>
          <t/>
        </is>
      </c>
      <c r="DJ84" s="252" t="inlineStr">
        <is>
          <t/>
        </is>
      </c>
      <c r="DK84" s="253" t="inlineStr">
        <is>
          <t/>
        </is>
      </c>
      <c r="DL84" s="254" t="inlineStr">
        <is>
          <t/>
        </is>
      </c>
      <c r="DM84" s="255" t="inlineStr">
        <is>
          <t/>
        </is>
      </c>
      <c r="DN84" s="256" t="inlineStr">
        <is>
          <t/>
        </is>
      </c>
      <c r="DO84" s="257" t="inlineStr">
        <is>
          <t/>
        </is>
      </c>
      <c r="DP84" s="258" t="inlineStr">
        <is>
          <t/>
        </is>
      </c>
      <c r="DQ84" s="259" t="inlineStr">
        <is>
          <t/>
        </is>
      </c>
      <c r="DR84" s="260" t="inlineStr">
        <is>
          <t/>
        </is>
      </c>
      <c r="DS84" s="261" t="inlineStr">
        <is>
          <t/>
        </is>
      </c>
      <c r="DT84" s="262" t="inlineStr">
        <is>
          <t/>
        </is>
      </c>
      <c r="DU84" s="263" t="inlineStr">
        <is>
          <t/>
        </is>
      </c>
      <c r="DV84" s="264" t="inlineStr">
        <is>
          <t/>
        </is>
      </c>
      <c r="DW84" s="265" t="inlineStr">
        <is>
          <t/>
        </is>
      </c>
      <c r="DX84" s="266" t="inlineStr">
        <is>
          <t/>
        </is>
      </c>
      <c r="DY84" s="267" t="inlineStr">
        <is>
          <t>PitchBook Research</t>
        </is>
      </c>
      <c r="DZ84" s="786">
        <f>HYPERLINK("https://my.pitchbook.com?c=187724-26", "View company online")</f>
      </c>
    </row>
    <row r="85">
      <c r="A85" s="9" t="inlineStr">
        <is>
          <t>171375-58</t>
        </is>
      </c>
      <c r="B85" s="10" t="inlineStr">
        <is>
          <t>Zeelo</t>
        </is>
      </c>
      <c r="C85" s="11" t="inlineStr">
        <is>
          <t/>
        </is>
      </c>
      <c r="D85" s="12" t="inlineStr">
        <is>
          <t/>
        </is>
      </c>
      <c r="E85" s="13" t="inlineStr">
        <is>
          <t>171375-58</t>
        </is>
      </c>
      <c r="F85" s="14" t="inlineStr">
        <is>
          <t>Provider of a coach aggregation service intended to pool coach travelers. The company's coach aggregation service pools travelers going to the same event through use of machine learning to intelligently match demand and supply, enabling passengers to avoid crowded trains and overpriced public transport.</t>
        </is>
      </c>
      <c r="G85" s="15" t="inlineStr">
        <is>
          <t>Consumer Products and Services (B2C)</t>
        </is>
      </c>
      <c r="H85" s="16" t="inlineStr">
        <is>
          <t>Transportation</t>
        </is>
      </c>
      <c r="I85" s="17" t="inlineStr">
        <is>
          <t>Automotive</t>
        </is>
      </c>
      <c r="J85" s="18" t="inlineStr">
        <is>
          <t>Automotive*; Social/Platform Software</t>
        </is>
      </c>
      <c r="K85" s="19" t="inlineStr">
        <is>
          <t>Artificial Intelligence &amp; Machine Learning, Big Data</t>
        </is>
      </c>
      <c r="L85" s="20" t="inlineStr">
        <is>
          <t>Venture Capital-Backed</t>
        </is>
      </c>
      <c r="M85" s="21" t="n">
        <v>1.75</v>
      </c>
      <c r="N85" s="22" t="inlineStr">
        <is>
          <t>Startup</t>
        </is>
      </c>
      <c r="O85" s="23" t="inlineStr">
        <is>
          <t>Privately Held (backing)</t>
        </is>
      </c>
      <c r="P85" s="24" t="inlineStr">
        <is>
          <t>Venture Capital, M&amp;A</t>
        </is>
      </c>
      <c r="Q85" s="25" t="inlineStr">
        <is>
          <t>www.zeelo.co</t>
        </is>
      </c>
      <c r="R85" s="26" t="inlineStr">
        <is>
          <t/>
        </is>
      </c>
      <c r="S85" s="27" t="inlineStr">
        <is>
          <t/>
        </is>
      </c>
      <c r="T85" s="28" t="inlineStr">
        <is>
          <t/>
        </is>
      </c>
      <c r="U85" s="29" t="n">
        <v>2016.0</v>
      </c>
      <c r="V85" s="30" t="inlineStr">
        <is>
          <t/>
        </is>
      </c>
      <c r="W85" s="31" t="inlineStr">
        <is>
          <t/>
        </is>
      </c>
      <c r="X85" s="32" t="inlineStr">
        <is>
          <r>
            <rPr>
              <b/>
              <color rgb="ff26854d"/>
              <rFont val="Arial"/>
              <sz val="8.0"/>
            </rPr>
            <t>News</t>
          </r>
          <r>
            <rPr>
              <color rgb="ff707070"/>
              <rFont val="Arial"/>
              <sz val="7.0"/>
            </rPr>
            <t xml:space="preserve"> NEW  </t>
          </r>
        </is>
      </c>
      <c r="Y85" s="33" t="inlineStr">
        <is>
          <t/>
        </is>
      </c>
      <c r="Z85" s="34" t="inlineStr">
        <is>
          <t/>
        </is>
      </c>
      <c r="AA85" s="35" t="inlineStr">
        <is>
          <t/>
        </is>
      </c>
      <c r="AB85" s="36" t="inlineStr">
        <is>
          <t/>
        </is>
      </c>
      <c r="AC85" s="37" t="inlineStr">
        <is>
          <t/>
        </is>
      </c>
      <c r="AD85" s="38" t="inlineStr">
        <is>
          <t/>
        </is>
      </c>
      <c r="AE85" s="39" t="inlineStr">
        <is>
          <t>162392-50P</t>
        </is>
      </c>
      <c r="AF85" s="40" t="inlineStr">
        <is>
          <t>Barney Williams</t>
        </is>
      </c>
      <c r="AG85" s="41" t="inlineStr">
        <is>
          <t>Co-Founder</t>
        </is>
      </c>
      <c r="AH85" s="42" t="inlineStr">
        <is>
          <t>barney@zeelo.co</t>
        </is>
      </c>
      <c r="AI85" s="43" t="inlineStr">
        <is>
          <t/>
        </is>
      </c>
      <c r="AJ85" s="44" t="inlineStr">
        <is>
          <t>London, United Kingdom</t>
        </is>
      </c>
      <c r="AK85" s="45" t="inlineStr">
        <is>
          <t>9 Wootton Street</t>
        </is>
      </c>
      <c r="AL85" s="46" t="inlineStr">
        <is>
          <t/>
        </is>
      </c>
      <c r="AM85" s="47" t="inlineStr">
        <is>
          <t>London</t>
        </is>
      </c>
      <c r="AN85" s="48" t="inlineStr">
        <is>
          <t>England</t>
        </is>
      </c>
      <c r="AO85" s="49" t="inlineStr">
        <is>
          <t>SE1 8TG</t>
        </is>
      </c>
      <c r="AP85" s="50" t="inlineStr">
        <is>
          <t>United Kingdom</t>
        </is>
      </c>
      <c r="AQ85" s="51" t="inlineStr">
        <is>
          <t/>
        </is>
      </c>
      <c r="AR85" s="52" t="inlineStr">
        <is>
          <t/>
        </is>
      </c>
      <c r="AS85" s="53" t="inlineStr">
        <is>
          <t>contact@zeelo.co</t>
        </is>
      </c>
      <c r="AT85" s="54" t="inlineStr">
        <is>
          <t>Europe</t>
        </is>
      </c>
      <c r="AU85" s="55" t="inlineStr">
        <is>
          <t>Western Europe</t>
        </is>
      </c>
      <c r="AV85" s="56" t="inlineStr">
        <is>
          <t>The company raised GBP 1.2 million of venture funding in a deal led by InMotion Ventures on November 21, 2017. Michael Leibreich and Simon Woodroffe also participated in the round. The company intends to use the funds to roll out its technology across different markets in the UK and Europe.</t>
        </is>
      </c>
      <c r="AW85" s="57" t="inlineStr">
        <is>
          <t>Coachhire, InMotion Ventures, Liam Griffin, Michael Leibreich, Simon Woodroffe</t>
        </is>
      </c>
      <c r="AX85" s="58" t="n">
        <v>5.0</v>
      </c>
      <c r="AY85" s="59" t="inlineStr">
        <is>
          <t/>
        </is>
      </c>
      <c r="AZ85" s="60" t="inlineStr">
        <is>
          <t/>
        </is>
      </c>
      <c r="BA85" s="61" t="inlineStr">
        <is>
          <t/>
        </is>
      </c>
      <c r="BB85" s="62" t="inlineStr">
        <is>
          <t>Coachhire (Coachhire.com), InMotion Ventures (www.inmotionventures.com)</t>
        </is>
      </c>
      <c r="BC85" s="63" t="inlineStr">
        <is>
          <t/>
        </is>
      </c>
      <c r="BD85" s="64" t="inlineStr">
        <is>
          <t/>
        </is>
      </c>
      <c r="BE85" s="65" t="inlineStr">
        <is>
          <t/>
        </is>
      </c>
      <c r="BF85" s="66" t="inlineStr">
        <is>
          <t/>
        </is>
      </c>
      <c r="BG85" s="67" t="n">
        <v>42682.0</v>
      </c>
      <c r="BH85" s="68" t="inlineStr">
        <is>
          <t/>
        </is>
      </c>
      <c r="BI85" s="69" t="inlineStr">
        <is>
          <t/>
        </is>
      </c>
      <c r="BJ85" s="70" t="inlineStr">
        <is>
          <t/>
        </is>
      </c>
      <c r="BK85" s="71" t="inlineStr">
        <is>
          <t/>
        </is>
      </c>
      <c r="BL85" s="72" t="inlineStr">
        <is>
          <t>Corporate</t>
        </is>
      </c>
      <c r="BM85" s="73" t="inlineStr">
        <is>
          <t>Corporate</t>
        </is>
      </c>
      <c r="BN85" s="74" t="inlineStr">
        <is>
          <t/>
        </is>
      </c>
      <c r="BO85" s="75" t="inlineStr">
        <is>
          <t>Corporate</t>
        </is>
      </c>
      <c r="BP85" s="76" t="inlineStr">
        <is>
          <t/>
        </is>
      </c>
      <c r="BQ85" s="77" t="inlineStr">
        <is>
          <t/>
        </is>
      </c>
      <c r="BR85" s="78" t="inlineStr">
        <is>
          <t/>
        </is>
      </c>
      <c r="BS85" s="79" t="inlineStr">
        <is>
          <t>Completed</t>
        </is>
      </c>
      <c r="BT85" s="80" t="n">
        <v>43060.0</v>
      </c>
      <c r="BU85" s="81" t="n">
        <v>1.35</v>
      </c>
      <c r="BV85" s="82" t="inlineStr">
        <is>
          <t>Actual</t>
        </is>
      </c>
      <c r="BW85" s="83" t="inlineStr">
        <is>
          <t/>
        </is>
      </c>
      <c r="BX85" s="84" t="inlineStr">
        <is>
          <t/>
        </is>
      </c>
      <c r="BY85" s="85" t="inlineStr">
        <is>
          <t>Early Stage VC</t>
        </is>
      </c>
      <c r="BZ85" s="86" t="inlineStr">
        <is>
          <t/>
        </is>
      </c>
      <c r="CA85" s="87" t="inlineStr">
        <is>
          <t/>
        </is>
      </c>
      <c r="CB85" s="88" t="inlineStr">
        <is>
          <t>Venture Capital</t>
        </is>
      </c>
      <c r="CC85" s="89" t="inlineStr">
        <is>
          <t/>
        </is>
      </c>
      <c r="CD85" s="90" t="inlineStr">
        <is>
          <t/>
        </is>
      </c>
      <c r="CE85" s="91" t="inlineStr">
        <is>
          <t/>
        </is>
      </c>
      <c r="CF85" s="92" t="inlineStr">
        <is>
          <t>Completed</t>
        </is>
      </c>
      <c r="CG85" s="93" t="inlineStr">
        <is>
          <t>2,91%</t>
        </is>
      </c>
      <c r="CH85" s="94" t="inlineStr">
        <is>
          <t>99</t>
        </is>
      </c>
      <c r="CI85" s="95" t="inlineStr">
        <is>
          <t>2,04%</t>
        </is>
      </c>
      <c r="CJ85" s="96" t="inlineStr">
        <is>
          <t>235,56%</t>
        </is>
      </c>
      <c r="CK85" s="97" t="inlineStr">
        <is>
          <t>2,71%</t>
        </is>
      </c>
      <c r="CL85" s="98" t="inlineStr">
        <is>
          <t>98</t>
        </is>
      </c>
      <c r="CM85" s="99" t="inlineStr">
        <is>
          <t>3,11%</t>
        </is>
      </c>
      <c r="CN85" s="100" t="inlineStr">
        <is>
          <t>100</t>
        </is>
      </c>
      <c r="CO85" s="101" t="inlineStr">
        <is>
          <t>5,42%</t>
        </is>
      </c>
      <c r="CP85" s="102" t="inlineStr">
        <is>
          <t>99</t>
        </is>
      </c>
      <c r="CQ85" s="103" t="inlineStr">
        <is>
          <t>0,00%</t>
        </is>
      </c>
      <c r="CR85" s="104" t="inlineStr">
        <is>
          <t>20</t>
        </is>
      </c>
      <c r="CS85" s="105" t="inlineStr">
        <is>
          <t>1,66%</t>
        </is>
      </c>
      <c r="CT85" s="106" t="inlineStr">
        <is>
          <t>97</t>
        </is>
      </c>
      <c r="CU85" s="107" t="inlineStr">
        <is>
          <t>4,55%</t>
        </is>
      </c>
      <c r="CV85" s="108" t="inlineStr">
        <is>
          <t>100</t>
        </is>
      </c>
      <c r="CW85" s="109" t="inlineStr">
        <is>
          <t>2,76x</t>
        </is>
      </c>
      <c r="CX85" s="110" t="inlineStr">
        <is>
          <t>71</t>
        </is>
      </c>
      <c r="CY85" s="111" t="inlineStr">
        <is>
          <t>0,17x</t>
        </is>
      </c>
      <c r="CZ85" s="112" t="inlineStr">
        <is>
          <t>6,64%</t>
        </is>
      </c>
      <c r="DA85" s="113" t="inlineStr">
        <is>
          <t>2,25x</t>
        </is>
      </c>
      <c r="DB85" s="114" t="inlineStr">
        <is>
          <t>69</t>
        </is>
      </c>
      <c r="DC85" s="115" t="inlineStr">
        <is>
          <t>3,28x</t>
        </is>
      </c>
      <c r="DD85" s="116" t="inlineStr">
        <is>
          <t>70</t>
        </is>
      </c>
      <c r="DE85" s="117" t="inlineStr">
        <is>
          <t>4,08x</t>
        </is>
      </c>
      <c r="DF85" s="118" t="inlineStr">
        <is>
          <t>78</t>
        </is>
      </c>
      <c r="DG85" s="119" t="inlineStr">
        <is>
          <t>0,42x</t>
        </is>
      </c>
      <c r="DH85" s="120" t="inlineStr">
        <is>
          <t>32</t>
        </is>
      </c>
      <c r="DI85" s="121" t="inlineStr">
        <is>
          <t>2,95x</t>
        </is>
      </c>
      <c r="DJ85" s="122" t="inlineStr">
        <is>
          <t>68</t>
        </is>
      </c>
      <c r="DK85" s="123" t="inlineStr">
        <is>
          <t>3,61x</t>
        </is>
      </c>
      <c r="DL85" s="124" t="inlineStr">
        <is>
          <t>74</t>
        </is>
      </c>
      <c r="DM85" s="125" t="inlineStr">
        <is>
          <t>1.499</t>
        </is>
      </c>
      <c r="DN85" s="126" t="inlineStr">
        <is>
          <t>132</t>
        </is>
      </c>
      <c r="DO85" s="127" t="inlineStr">
        <is>
          <t>9,66%</t>
        </is>
      </c>
      <c r="DP85" s="128" t="inlineStr">
        <is>
          <t>2.317</t>
        </is>
      </c>
      <c r="DQ85" s="129" t="inlineStr">
        <is>
          <t>38</t>
        </is>
      </c>
      <c r="DR85" s="130" t="inlineStr">
        <is>
          <t>1,67%</t>
        </is>
      </c>
      <c r="DS85" s="131" t="inlineStr">
        <is>
          <t>15</t>
        </is>
      </c>
      <c r="DT85" s="132" t="inlineStr">
        <is>
          <t>1</t>
        </is>
      </c>
      <c r="DU85" s="133" t="inlineStr">
        <is>
          <t>7,14%</t>
        </is>
      </c>
      <c r="DV85" s="134" t="inlineStr">
        <is>
          <t>1.359</t>
        </is>
      </c>
      <c r="DW85" s="135" t="inlineStr">
        <is>
          <t>540</t>
        </is>
      </c>
      <c r="DX85" s="136" t="inlineStr">
        <is>
          <t>65,93%</t>
        </is>
      </c>
      <c r="DY85" s="137" t="inlineStr">
        <is>
          <t>PitchBook Research</t>
        </is>
      </c>
      <c r="DZ85" s="785">
        <f>HYPERLINK("https://my.pitchbook.com?c=171375-58", "View company online")</f>
      </c>
    </row>
    <row r="86">
      <c r="A86" s="139" t="inlineStr">
        <is>
          <t>221823-01</t>
        </is>
      </c>
      <c r="B86" s="140" t="inlineStr">
        <is>
          <t>Cygnetise</t>
        </is>
      </c>
      <c r="C86" s="141" t="inlineStr">
        <is>
          <t/>
        </is>
      </c>
      <c r="D86" s="142" t="inlineStr">
        <is>
          <t/>
        </is>
      </c>
      <c r="E86" s="143" t="inlineStr">
        <is>
          <t>221823-01</t>
        </is>
      </c>
      <c r="F86" s="144" t="inlineStr">
        <is>
          <t>Provider of a blockchain platform intended to help organizations maintain and distribute authorized signatory lists. The company's blockchain platform helps in mitigating the opportunities for fraud from a mandatory paper based process by real-time editing and maintenance of authorized signatory lists and data encryption and increased security through access management.</t>
        </is>
      </c>
      <c r="G86" s="145" t="inlineStr">
        <is>
          <t>Information Technology</t>
        </is>
      </c>
      <c r="H86" s="146" t="inlineStr">
        <is>
          <t>Software</t>
        </is>
      </c>
      <c r="I86" s="147" t="inlineStr">
        <is>
          <t>Database Software</t>
        </is>
      </c>
      <c r="J86" s="148" t="inlineStr">
        <is>
          <t>Database Software*; Application Software</t>
        </is>
      </c>
      <c r="K86" s="149" t="inlineStr">
        <is>
          <t>FinTech</t>
        </is>
      </c>
      <c r="L86" s="150" t="inlineStr">
        <is>
          <t>Venture Capital-Backed</t>
        </is>
      </c>
      <c r="M86" s="151" t="n">
        <v>1.8</v>
      </c>
      <c r="N86" s="152" t="inlineStr">
        <is>
          <t>Generating Revenue</t>
        </is>
      </c>
      <c r="O86" s="153" t="inlineStr">
        <is>
          <t>Privately Held (backing)</t>
        </is>
      </c>
      <c r="P86" s="154" t="inlineStr">
        <is>
          <t>Venture Capital</t>
        </is>
      </c>
      <c r="Q86" s="155" t="inlineStr">
        <is>
          <t>www.cygnetise.com</t>
        </is>
      </c>
      <c r="R86" s="156" t="inlineStr">
        <is>
          <t/>
        </is>
      </c>
      <c r="S86" s="157" t="inlineStr">
        <is>
          <t/>
        </is>
      </c>
      <c r="T86" s="158" t="inlineStr">
        <is>
          <t/>
        </is>
      </c>
      <c r="U86" s="159" t="n">
        <v>2016.0</v>
      </c>
      <c r="V86" s="160" t="inlineStr">
        <is>
          <t/>
        </is>
      </c>
      <c r="W86" s="161" t="inlineStr">
        <is>
          <t/>
        </is>
      </c>
      <c r="X86" s="162" t="inlineStr">
        <is>
          <t/>
        </is>
      </c>
      <c r="Y86" s="163" t="inlineStr">
        <is>
          <t/>
        </is>
      </c>
      <c r="Z86" s="164" t="inlineStr">
        <is>
          <t/>
        </is>
      </c>
      <c r="AA86" s="165" t="inlineStr">
        <is>
          <t/>
        </is>
      </c>
      <c r="AB86" s="166" t="inlineStr">
        <is>
          <t/>
        </is>
      </c>
      <c r="AC86" s="167" t="inlineStr">
        <is>
          <t/>
        </is>
      </c>
      <c r="AD86" s="168" t="inlineStr">
        <is>
          <t/>
        </is>
      </c>
      <c r="AE86" s="169" t="inlineStr">
        <is>
          <t>173491-84P</t>
        </is>
      </c>
      <c r="AF86" s="170" t="inlineStr">
        <is>
          <t>Steve Pomfret</t>
        </is>
      </c>
      <c r="AG86" s="171" t="inlineStr">
        <is>
          <t>Chief Executive Officer &amp; Founder</t>
        </is>
      </c>
      <c r="AH86" s="172" t="inlineStr">
        <is>
          <t>steve@cygnetise.com</t>
        </is>
      </c>
      <c r="AI86" s="173" t="inlineStr">
        <is>
          <t>+44 (0)20 3598 3809</t>
        </is>
      </c>
      <c r="AJ86" s="174" t="inlineStr">
        <is>
          <t>London, United Kingdom</t>
        </is>
      </c>
      <c r="AK86" s="175" t="inlineStr">
        <is>
          <t>34 Threadneedle Street</t>
        </is>
      </c>
      <c r="AL86" s="176" t="inlineStr">
        <is>
          <t/>
        </is>
      </c>
      <c r="AM86" s="177" t="inlineStr">
        <is>
          <t>London</t>
        </is>
      </c>
      <c r="AN86" s="178" t="inlineStr">
        <is>
          <t>England</t>
        </is>
      </c>
      <c r="AO86" s="179" t="inlineStr">
        <is>
          <t>EC2R 8AY</t>
        </is>
      </c>
      <c r="AP86" s="180" t="inlineStr">
        <is>
          <t>United Kingdom</t>
        </is>
      </c>
      <c r="AQ86" s="181" t="inlineStr">
        <is>
          <t>+44 (0)20 3598 3809</t>
        </is>
      </c>
      <c r="AR86" s="182" t="inlineStr">
        <is>
          <t/>
        </is>
      </c>
      <c r="AS86" s="183" t="inlineStr">
        <is>
          <t>info@cygnetise.com</t>
        </is>
      </c>
      <c r="AT86" s="184" t="inlineStr">
        <is>
          <t>Europe</t>
        </is>
      </c>
      <c r="AU86" s="185" t="inlineStr">
        <is>
          <t>Western Europe</t>
        </is>
      </c>
      <c r="AV86" s="186" t="inlineStr">
        <is>
          <t>The company raised GBP 1 million of venture funding in a deal led by Calibrate Management on October 30, 2017. Other undisclosed investors also participated in the round. The funding will be used to help the company rapidly grow its sales and business development for national and international markets.</t>
        </is>
      </c>
      <c r="AW86" s="187" t="inlineStr">
        <is>
          <t>Calibrate Management</t>
        </is>
      </c>
      <c r="AX86" s="188" t="n">
        <v>1.0</v>
      </c>
      <c r="AY86" s="189" t="inlineStr">
        <is>
          <t/>
        </is>
      </c>
      <c r="AZ86" s="190" t="inlineStr">
        <is>
          <t/>
        </is>
      </c>
      <c r="BA86" s="191" t="inlineStr">
        <is>
          <t/>
        </is>
      </c>
      <c r="BB86" s="192" t="inlineStr">
        <is>
          <t>Calibrate Management (www.calibrate-partners.com)</t>
        </is>
      </c>
      <c r="BC86" s="193" t="inlineStr">
        <is>
          <t/>
        </is>
      </c>
      <c r="BD86" s="194" t="inlineStr">
        <is>
          <t/>
        </is>
      </c>
      <c r="BE86" s="195" t="inlineStr">
        <is>
          <t/>
        </is>
      </c>
      <c r="BF86" s="196" t="inlineStr">
        <is>
          <t/>
        </is>
      </c>
      <c r="BG86" s="197" t="inlineStr">
        <is>
          <t/>
        </is>
      </c>
      <c r="BH86" s="198" t="n">
        <v>0.67</v>
      </c>
      <c r="BI86" s="199" t="inlineStr">
        <is>
          <t>Actual</t>
        </is>
      </c>
      <c r="BJ86" s="200" t="inlineStr">
        <is>
          <t/>
        </is>
      </c>
      <c r="BK86" s="201" t="inlineStr">
        <is>
          <t/>
        </is>
      </c>
      <c r="BL86" s="202" t="inlineStr">
        <is>
          <t>Early Stage VC</t>
        </is>
      </c>
      <c r="BM86" s="203" t="inlineStr">
        <is>
          <t/>
        </is>
      </c>
      <c r="BN86" s="204" t="inlineStr">
        <is>
          <t/>
        </is>
      </c>
      <c r="BO86" s="205" t="inlineStr">
        <is>
          <t>Venture Capital</t>
        </is>
      </c>
      <c r="BP86" s="206" t="inlineStr">
        <is>
          <t/>
        </is>
      </c>
      <c r="BQ86" s="207" t="inlineStr">
        <is>
          <t/>
        </is>
      </c>
      <c r="BR86" s="208" t="inlineStr">
        <is>
          <t/>
        </is>
      </c>
      <c r="BS86" s="209" t="inlineStr">
        <is>
          <t>Completed</t>
        </is>
      </c>
      <c r="BT86" s="210" t="n">
        <v>43038.0</v>
      </c>
      <c r="BU86" s="211" t="n">
        <v>1.12</v>
      </c>
      <c r="BV86" s="212" t="inlineStr">
        <is>
          <t>Actual</t>
        </is>
      </c>
      <c r="BW86" s="213" t="inlineStr">
        <is>
          <t/>
        </is>
      </c>
      <c r="BX86" s="214" t="inlineStr">
        <is>
          <t/>
        </is>
      </c>
      <c r="BY86" s="215" t="inlineStr">
        <is>
          <t>Early Stage VC</t>
        </is>
      </c>
      <c r="BZ86" s="216" t="inlineStr">
        <is>
          <t/>
        </is>
      </c>
      <c r="CA86" s="217" t="inlineStr">
        <is>
          <t/>
        </is>
      </c>
      <c r="CB86" s="218" t="inlineStr">
        <is>
          <t>Venture Capital</t>
        </is>
      </c>
      <c r="CC86" s="219" t="inlineStr">
        <is>
          <t/>
        </is>
      </c>
      <c r="CD86" s="220" t="inlineStr">
        <is>
          <t/>
        </is>
      </c>
      <c r="CE86" s="221" t="inlineStr">
        <is>
          <t/>
        </is>
      </c>
      <c r="CF86" s="222" t="inlineStr">
        <is>
          <t>Completed</t>
        </is>
      </c>
      <c r="CG86" s="223" t="inlineStr">
        <is>
          <t/>
        </is>
      </c>
      <c r="CH86" s="224" t="inlineStr">
        <is>
          <t/>
        </is>
      </c>
      <c r="CI86" s="225" t="inlineStr">
        <is>
          <t/>
        </is>
      </c>
      <c r="CJ86" s="226" t="inlineStr">
        <is>
          <t/>
        </is>
      </c>
      <c r="CK86" s="227" t="inlineStr">
        <is>
          <t/>
        </is>
      </c>
      <c r="CL86" s="228" t="inlineStr">
        <is>
          <t/>
        </is>
      </c>
      <c r="CM86" s="229" t="inlineStr">
        <is>
          <t/>
        </is>
      </c>
      <c r="CN86" s="230" t="inlineStr">
        <is>
          <t/>
        </is>
      </c>
      <c r="CO86" s="231" t="inlineStr">
        <is>
          <t/>
        </is>
      </c>
      <c r="CP86" s="232" t="inlineStr">
        <is>
          <t/>
        </is>
      </c>
      <c r="CQ86" s="233" t="inlineStr">
        <is>
          <t/>
        </is>
      </c>
      <c r="CR86" s="234" t="inlineStr">
        <is>
          <t/>
        </is>
      </c>
      <c r="CS86" s="235" t="inlineStr">
        <is>
          <t/>
        </is>
      </c>
      <c r="CT86" s="236" t="inlineStr">
        <is>
          <t/>
        </is>
      </c>
      <c r="CU86" s="237" t="inlineStr">
        <is>
          <t/>
        </is>
      </c>
      <c r="CV86" s="238" t="inlineStr">
        <is>
          <t/>
        </is>
      </c>
      <c r="CW86" s="239" t="inlineStr">
        <is>
          <t/>
        </is>
      </c>
      <c r="CX86" s="240" t="inlineStr">
        <is>
          <t/>
        </is>
      </c>
      <c r="CY86" s="241" t="inlineStr">
        <is>
          <t/>
        </is>
      </c>
      <c r="CZ86" s="242" t="inlineStr">
        <is>
          <t/>
        </is>
      </c>
      <c r="DA86" s="243" t="inlineStr">
        <is>
          <t/>
        </is>
      </c>
      <c r="DB86" s="244" t="inlineStr">
        <is>
          <t/>
        </is>
      </c>
      <c r="DC86" s="245" t="inlineStr">
        <is>
          <t/>
        </is>
      </c>
      <c r="DD86" s="246" t="inlineStr">
        <is>
          <t/>
        </is>
      </c>
      <c r="DE86" s="247" t="inlineStr">
        <is>
          <t/>
        </is>
      </c>
      <c r="DF86" s="248" t="inlineStr">
        <is>
          <t/>
        </is>
      </c>
      <c r="DG86" s="249" t="inlineStr">
        <is>
          <t/>
        </is>
      </c>
      <c r="DH86" s="250" t="inlineStr">
        <is>
          <t/>
        </is>
      </c>
      <c r="DI86" s="251" t="inlineStr">
        <is>
          <t/>
        </is>
      </c>
      <c r="DJ86" s="252" t="inlineStr">
        <is>
          <t/>
        </is>
      </c>
      <c r="DK86" s="253" t="inlineStr">
        <is>
          <t/>
        </is>
      </c>
      <c r="DL86" s="254" t="inlineStr">
        <is>
          <t/>
        </is>
      </c>
      <c r="DM86" s="255" t="inlineStr">
        <is>
          <t/>
        </is>
      </c>
      <c r="DN86" s="256" t="inlineStr">
        <is>
          <t/>
        </is>
      </c>
      <c r="DO86" s="257" t="inlineStr">
        <is>
          <t/>
        </is>
      </c>
      <c r="DP86" s="258" t="inlineStr">
        <is>
          <t/>
        </is>
      </c>
      <c r="DQ86" s="259" t="inlineStr">
        <is>
          <t/>
        </is>
      </c>
      <c r="DR86" s="260" t="inlineStr">
        <is>
          <t/>
        </is>
      </c>
      <c r="DS86" s="261" t="inlineStr">
        <is>
          <t/>
        </is>
      </c>
      <c r="DT86" s="262" t="inlineStr">
        <is>
          <t/>
        </is>
      </c>
      <c r="DU86" s="263" t="inlineStr">
        <is>
          <t/>
        </is>
      </c>
      <c r="DV86" s="264" t="inlineStr">
        <is>
          <t/>
        </is>
      </c>
      <c r="DW86" s="265" t="inlineStr">
        <is>
          <t/>
        </is>
      </c>
      <c r="DX86" s="266" t="inlineStr">
        <is>
          <t/>
        </is>
      </c>
      <c r="DY86" s="267" t="inlineStr">
        <is>
          <t>PitchBook Research</t>
        </is>
      </c>
      <c r="DZ86" s="786">
        <f>HYPERLINK("https://my.pitchbook.com?c=221823-01", "View company online")</f>
      </c>
    </row>
    <row r="87">
      <c r="A87" s="9" t="inlineStr">
        <is>
          <t>184394-80</t>
        </is>
      </c>
      <c r="B87" s="10" t="inlineStr">
        <is>
          <t>Kivu Technologies</t>
        </is>
      </c>
      <c r="C87" s="11" t="inlineStr">
        <is>
          <t/>
        </is>
      </c>
      <c r="D87" s="12" t="inlineStr">
        <is>
          <t/>
        </is>
      </c>
      <c r="E87" s="13" t="inlineStr">
        <is>
          <t>184394-80</t>
        </is>
      </c>
      <c r="F87" s="14" t="inlineStr">
        <is>
          <t>Provider of a network analytical platform intended to offer real time data analytical services for the security industry. The company's network analytical platform uses artificial intelligence (AI) and machine learning to change the nature of data intelligence, enabling clients to immediately portray any data as a network, allowing them to answer time-critical questions quickly and efficiently.</t>
        </is>
      </c>
      <c r="G87" s="15" t="inlineStr">
        <is>
          <t>Information Technology</t>
        </is>
      </c>
      <c r="H87" s="16" t="inlineStr">
        <is>
          <t>Software</t>
        </is>
      </c>
      <c r="I87" s="17" t="inlineStr">
        <is>
          <t>Application Software</t>
        </is>
      </c>
      <c r="J87" s="18" t="inlineStr">
        <is>
          <t>Application Software*; Network Management Software</t>
        </is>
      </c>
      <c r="K87" s="19" t="inlineStr">
        <is>
          <t>Artificial Intelligence &amp; Machine Learning, Big Data, Cybersecurity</t>
        </is>
      </c>
      <c r="L87" s="20" t="inlineStr">
        <is>
          <t>Venture Capital-Backed</t>
        </is>
      </c>
      <c r="M87" s="21" t="n">
        <v>1.8</v>
      </c>
      <c r="N87" s="22" t="inlineStr">
        <is>
          <t>Generating Revenue</t>
        </is>
      </c>
      <c r="O87" s="23" t="inlineStr">
        <is>
          <t>Privately Held (backing)</t>
        </is>
      </c>
      <c r="P87" s="24" t="inlineStr">
        <is>
          <t>Venture Capital</t>
        </is>
      </c>
      <c r="Q87" s="25" t="inlineStr">
        <is>
          <t>www.kivu.tech</t>
        </is>
      </c>
      <c r="R87" s="26" t="inlineStr">
        <is>
          <t/>
        </is>
      </c>
      <c r="S87" s="27" t="inlineStr">
        <is>
          <t/>
        </is>
      </c>
      <c r="T87" s="28" t="inlineStr">
        <is>
          <t/>
        </is>
      </c>
      <c r="U87" s="29" t="n">
        <v>2016.0</v>
      </c>
      <c r="V87" s="30" t="inlineStr">
        <is>
          <t/>
        </is>
      </c>
      <c r="W87" s="31" t="inlineStr">
        <is>
          <t/>
        </is>
      </c>
      <c r="X87" s="32" t="inlineStr">
        <is>
          <t/>
        </is>
      </c>
      <c r="Y87" s="33" t="inlineStr">
        <is>
          <t/>
        </is>
      </c>
      <c r="Z87" s="34" t="inlineStr">
        <is>
          <t/>
        </is>
      </c>
      <c r="AA87" s="35" t="inlineStr">
        <is>
          <t/>
        </is>
      </c>
      <c r="AB87" s="36" t="inlineStr">
        <is>
          <t/>
        </is>
      </c>
      <c r="AC87" s="37" t="inlineStr">
        <is>
          <t/>
        </is>
      </c>
      <c r="AD87" s="38" t="inlineStr">
        <is>
          <t/>
        </is>
      </c>
      <c r="AE87" s="39" t="inlineStr">
        <is>
          <t>168406-93P</t>
        </is>
      </c>
      <c r="AF87" s="40" t="inlineStr">
        <is>
          <t>Robert Wesley</t>
        </is>
      </c>
      <c r="AG87" s="41" t="inlineStr">
        <is>
          <t>Co-Founder &amp; Chief Executive Officer</t>
        </is>
      </c>
      <c r="AH87" s="42" t="inlineStr">
        <is>
          <t>wesley@kivu.tech</t>
        </is>
      </c>
      <c r="AI87" s="43" t="inlineStr">
        <is>
          <t/>
        </is>
      </c>
      <c r="AJ87" s="44" t="inlineStr">
        <is>
          <t>Austria</t>
        </is>
      </c>
      <c r="AK87" s="45" t="inlineStr">
        <is>
          <t/>
        </is>
      </c>
      <c r="AL87" s="46" t="inlineStr">
        <is>
          <t/>
        </is>
      </c>
      <c r="AM87" s="47" t="inlineStr">
        <is>
          <t/>
        </is>
      </c>
      <c r="AN87" s="48" t="inlineStr">
        <is>
          <t/>
        </is>
      </c>
      <c r="AO87" s="49" t="inlineStr">
        <is>
          <t/>
        </is>
      </c>
      <c r="AP87" s="50" t="inlineStr">
        <is>
          <t>Austria</t>
        </is>
      </c>
      <c r="AQ87" s="51" t="inlineStr">
        <is>
          <t/>
        </is>
      </c>
      <c r="AR87" s="52" t="inlineStr">
        <is>
          <t/>
        </is>
      </c>
      <c r="AS87" s="53" t="inlineStr">
        <is>
          <t>christian@kivu.com</t>
        </is>
      </c>
      <c r="AT87" s="54" t="inlineStr">
        <is>
          <t>Europe</t>
        </is>
      </c>
      <c r="AU87" s="55" t="inlineStr">
        <is>
          <t>Western Europe</t>
        </is>
      </c>
      <c r="AV87" s="56" t="inlineStr">
        <is>
          <t>The company raised EUR 1.8 million of seed funding in a deal led by aws Gründerfonds and btov Partners on September 11, 2017. APEX Ventures, Ewald Hesse and Louis Curran also participated in the round. The company is using the funds to bring its product to market in the upcoming months.</t>
        </is>
      </c>
      <c r="AW87" s="57" t="inlineStr">
        <is>
          <t>APEX Ventures, aws Gründerfonds, btov Partners, Ewald Hesse, Louis Curran</t>
        </is>
      </c>
      <c r="AX87" s="58" t="n">
        <v>5.0</v>
      </c>
      <c r="AY87" s="59" t="inlineStr">
        <is>
          <t/>
        </is>
      </c>
      <c r="AZ87" s="60" t="inlineStr">
        <is>
          <t/>
        </is>
      </c>
      <c r="BA87" s="61" t="inlineStr">
        <is>
          <t/>
        </is>
      </c>
      <c r="BB87" s="62" t="inlineStr">
        <is>
          <t>APEX Ventures (www.apex.ventures), aws Gründerfonds (www.gruenderfonds.at), btov Partners (www.btov.vc)</t>
        </is>
      </c>
      <c r="BC87" s="63" t="inlineStr">
        <is>
          <t/>
        </is>
      </c>
      <c r="BD87" s="64" t="inlineStr">
        <is>
          <t/>
        </is>
      </c>
      <c r="BE87" s="65" t="inlineStr">
        <is>
          <t/>
        </is>
      </c>
      <c r="BF87" s="66" t="inlineStr">
        <is>
          <t/>
        </is>
      </c>
      <c r="BG87" s="67" t="inlineStr">
        <is>
          <t/>
        </is>
      </c>
      <c r="BH87" s="68" t="inlineStr">
        <is>
          <t/>
        </is>
      </c>
      <c r="BI87" s="69" t="inlineStr">
        <is>
          <t/>
        </is>
      </c>
      <c r="BJ87" s="70" t="inlineStr">
        <is>
          <t/>
        </is>
      </c>
      <c r="BK87" s="71" t="inlineStr">
        <is>
          <t/>
        </is>
      </c>
      <c r="BL87" s="72" t="inlineStr">
        <is>
          <t>Seed Round</t>
        </is>
      </c>
      <c r="BM87" s="73" t="inlineStr">
        <is>
          <t>Seed</t>
        </is>
      </c>
      <c r="BN87" s="74" t="inlineStr">
        <is>
          <t/>
        </is>
      </c>
      <c r="BO87" s="75" t="inlineStr">
        <is>
          <t>Venture Capital</t>
        </is>
      </c>
      <c r="BP87" s="76" t="inlineStr">
        <is>
          <t/>
        </is>
      </c>
      <c r="BQ87" s="77" t="inlineStr">
        <is>
          <t/>
        </is>
      </c>
      <c r="BR87" s="78" t="inlineStr">
        <is>
          <t/>
        </is>
      </c>
      <c r="BS87" s="79" t="inlineStr">
        <is>
          <t>Completed</t>
        </is>
      </c>
      <c r="BT87" s="80" t="n">
        <v>42989.0</v>
      </c>
      <c r="BU87" s="81" t="n">
        <v>1.8</v>
      </c>
      <c r="BV87" s="82" t="inlineStr">
        <is>
          <t>Actual</t>
        </is>
      </c>
      <c r="BW87" s="83" t="inlineStr">
        <is>
          <t/>
        </is>
      </c>
      <c r="BX87" s="84" t="inlineStr">
        <is>
          <t/>
        </is>
      </c>
      <c r="BY87" s="85" t="inlineStr">
        <is>
          <t>Seed Round</t>
        </is>
      </c>
      <c r="BZ87" s="86" t="inlineStr">
        <is>
          <t>Seed</t>
        </is>
      </c>
      <c r="CA87" s="87" t="inlineStr">
        <is>
          <t/>
        </is>
      </c>
      <c r="CB87" s="88" t="inlineStr">
        <is>
          <t>Venture Capital</t>
        </is>
      </c>
      <c r="CC87" s="89" t="inlineStr">
        <is>
          <t/>
        </is>
      </c>
      <c r="CD87" s="90" t="inlineStr">
        <is>
          <t/>
        </is>
      </c>
      <c r="CE87" s="91" t="inlineStr">
        <is>
          <t/>
        </is>
      </c>
      <c r="CF87" s="92" t="inlineStr">
        <is>
          <t>Completed</t>
        </is>
      </c>
      <c r="CG87" s="93" t="inlineStr">
        <is>
          <t>0,00%</t>
        </is>
      </c>
      <c r="CH87" s="94" t="inlineStr">
        <is>
          <t>33</t>
        </is>
      </c>
      <c r="CI87" s="95" t="inlineStr">
        <is>
          <t>0,00%</t>
        </is>
      </c>
      <c r="CJ87" s="96" t="inlineStr">
        <is>
          <t>0,00%</t>
        </is>
      </c>
      <c r="CK87" s="97" t="inlineStr">
        <is>
          <t>0,00%</t>
        </is>
      </c>
      <c r="CL87" s="98" t="inlineStr">
        <is>
          <t>28</t>
        </is>
      </c>
      <c r="CM87" s="99" t="inlineStr">
        <is>
          <t/>
        </is>
      </c>
      <c r="CN87" s="100" t="inlineStr">
        <is>
          <t/>
        </is>
      </c>
      <c r="CO87" s="101" t="inlineStr">
        <is>
          <t/>
        </is>
      </c>
      <c r="CP87" s="102" t="inlineStr">
        <is>
          <t/>
        </is>
      </c>
      <c r="CQ87" s="103" t="inlineStr">
        <is>
          <t>0,00%</t>
        </is>
      </c>
      <c r="CR87" s="104" t="inlineStr">
        <is>
          <t>20</t>
        </is>
      </c>
      <c r="CS87" s="105" t="inlineStr">
        <is>
          <t/>
        </is>
      </c>
      <c r="CT87" s="106" t="inlineStr">
        <is>
          <t/>
        </is>
      </c>
      <c r="CU87" s="107" t="inlineStr">
        <is>
          <t/>
        </is>
      </c>
      <c r="CV87" s="108" t="inlineStr">
        <is>
          <t/>
        </is>
      </c>
      <c r="CW87" s="109" t="inlineStr">
        <is>
          <t>0,31x</t>
        </is>
      </c>
      <c r="CX87" s="110" t="inlineStr">
        <is>
          <t>23</t>
        </is>
      </c>
      <c r="CY87" s="111" t="inlineStr">
        <is>
          <t>0,00x</t>
        </is>
      </c>
      <c r="CZ87" s="112" t="inlineStr">
        <is>
          <t>0,00%</t>
        </is>
      </c>
      <c r="DA87" s="113" t="inlineStr">
        <is>
          <t>0,31x</t>
        </is>
      </c>
      <c r="DB87" s="114" t="inlineStr">
        <is>
          <t>24</t>
        </is>
      </c>
      <c r="DC87" s="115" t="inlineStr">
        <is>
          <t/>
        </is>
      </c>
      <c r="DD87" s="116" t="inlineStr">
        <is>
          <t/>
        </is>
      </c>
      <c r="DE87" s="117" t="inlineStr">
        <is>
          <t/>
        </is>
      </c>
      <c r="DF87" s="118" t="inlineStr">
        <is>
          <t/>
        </is>
      </c>
      <c r="DG87" s="119" t="inlineStr">
        <is>
          <t>0,31x</t>
        </is>
      </c>
      <c r="DH87" s="120" t="inlineStr">
        <is>
          <t>26</t>
        </is>
      </c>
      <c r="DI87" s="121" t="inlineStr">
        <is>
          <t/>
        </is>
      </c>
      <c r="DJ87" s="122" t="inlineStr">
        <is>
          <t/>
        </is>
      </c>
      <c r="DK87" s="123" t="inlineStr">
        <is>
          <t/>
        </is>
      </c>
      <c r="DL87" s="124" t="inlineStr">
        <is>
          <t/>
        </is>
      </c>
      <c r="DM87" s="125" t="inlineStr">
        <is>
          <t/>
        </is>
      </c>
      <c r="DN87" s="126" t="inlineStr">
        <is>
          <t/>
        </is>
      </c>
      <c r="DO87" s="127" t="inlineStr">
        <is>
          <t/>
        </is>
      </c>
      <c r="DP87" s="128" t="inlineStr">
        <is>
          <t/>
        </is>
      </c>
      <c r="DQ87" s="129" t="inlineStr">
        <is>
          <t/>
        </is>
      </c>
      <c r="DR87" s="130" t="inlineStr">
        <is>
          <t/>
        </is>
      </c>
      <c r="DS87" s="131" t="inlineStr">
        <is>
          <t>11</t>
        </is>
      </c>
      <c r="DT87" s="132" t="inlineStr">
        <is>
          <t>0</t>
        </is>
      </c>
      <c r="DU87" s="133" t="inlineStr">
        <is>
          <t>0,00%</t>
        </is>
      </c>
      <c r="DV87" s="134" t="inlineStr">
        <is>
          <t/>
        </is>
      </c>
      <c r="DW87" s="135" t="inlineStr">
        <is>
          <t/>
        </is>
      </c>
      <c r="DX87" s="136" t="inlineStr">
        <is>
          <t/>
        </is>
      </c>
      <c r="DY87" s="137" t="inlineStr">
        <is>
          <t>PitchBook Research</t>
        </is>
      </c>
      <c r="DZ87" s="785">
        <f>HYPERLINK("https://my.pitchbook.com?c=184394-80", "View company online")</f>
      </c>
    </row>
    <row r="88">
      <c r="A88" s="139" t="inlineStr">
        <is>
          <t>121189-42</t>
        </is>
      </c>
      <c r="B88" s="140" t="inlineStr">
        <is>
          <t>Coredinate</t>
        </is>
      </c>
      <c r="C88" s="141" t="inlineStr">
        <is>
          <t/>
        </is>
      </c>
      <c r="D88" s="142" t="inlineStr">
        <is>
          <t/>
        </is>
      </c>
      <c r="E88" s="143" t="inlineStr">
        <is>
          <t>121189-42</t>
        </is>
      </c>
      <c r="F88" s="144" t="inlineStr">
        <is>
          <t>Provider of a SaaS based application intended to increase the effciency of service companies. The company's SaaS based application offers a fully adequate security guard control system and supports employees through additional modules such as job management, event capture or object information, enabling maintenance, security and cleaning firms to optimize daily work processes via a guard tour patrol systems.</t>
        </is>
      </c>
      <c r="G88" s="145" t="inlineStr">
        <is>
          <t>Information Technology</t>
        </is>
      </c>
      <c r="H88" s="146" t="inlineStr">
        <is>
          <t>Software</t>
        </is>
      </c>
      <c r="I88" s="147" t="inlineStr">
        <is>
          <t>Application Software</t>
        </is>
      </c>
      <c r="J88" s="148" t="inlineStr">
        <is>
          <t>Application Software*; Business/Productivity Software</t>
        </is>
      </c>
      <c r="K88" s="149" t="inlineStr">
        <is>
          <t>SaaS</t>
        </is>
      </c>
      <c r="L88" s="150" t="inlineStr">
        <is>
          <t>Venture Capital-Backed</t>
        </is>
      </c>
      <c r="M88" s="151" t="n">
        <v>1.9</v>
      </c>
      <c r="N88" s="152" t="inlineStr">
        <is>
          <t>Generating Revenue</t>
        </is>
      </c>
      <c r="O88" s="153" t="inlineStr">
        <is>
          <t>Privately Held (backing)</t>
        </is>
      </c>
      <c r="P88" s="154" t="inlineStr">
        <is>
          <t>Venture Capital</t>
        </is>
      </c>
      <c r="Q88" s="155" t="inlineStr">
        <is>
          <t>www.coredinate.de</t>
        </is>
      </c>
      <c r="R88" s="156" t="inlineStr">
        <is>
          <t/>
        </is>
      </c>
      <c r="S88" s="157" t="inlineStr">
        <is>
          <t/>
        </is>
      </c>
      <c r="T88" s="158" t="inlineStr">
        <is>
          <t/>
        </is>
      </c>
      <c r="U88" s="159" t="n">
        <v>2012.0</v>
      </c>
      <c r="V88" s="160" t="inlineStr">
        <is>
          <t/>
        </is>
      </c>
      <c r="W88" s="161" t="inlineStr">
        <is>
          <t/>
        </is>
      </c>
      <c r="X88" s="162" t="inlineStr">
        <is>
          <t/>
        </is>
      </c>
      <c r="Y88" s="163" t="inlineStr">
        <is>
          <t/>
        </is>
      </c>
      <c r="Z88" s="164" t="inlineStr">
        <is>
          <t/>
        </is>
      </c>
      <c r="AA88" s="165" t="inlineStr">
        <is>
          <t/>
        </is>
      </c>
      <c r="AB88" s="166" t="inlineStr">
        <is>
          <t/>
        </is>
      </c>
      <c r="AC88" s="167" t="inlineStr">
        <is>
          <t/>
        </is>
      </c>
      <c r="AD88" s="168" t="inlineStr">
        <is>
          <t/>
        </is>
      </c>
      <c r="AE88" s="169" t="inlineStr">
        <is>
          <t>109273-78P</t>
        </is>
      </c>
      <c r="AF88" s="170" t="inlineStr">
        <is>
          <t>Konstantin Krassmann</t>
        </is>
      </c>
      <c r="AG88" s="171" t="inlineStr">
        <is>
          <t>Chief Technology Officer</t>
        </is>
      </c>
      <c r="AH88" s="172" t="inlineStr">
        <is>
          <t>konstantin.krassmann@coredinate.de</t>
        </is>
      </c>
      <c r="AI88" s="173" t="inlineStr">
        <is>
          <t>+49 (0)98 4280 4910</t>
        </is>
      </c>
      <c r="AJ88" s="174" t="inlineStr">
        <is>
          <t>Uffenheim, Germany</t>
        </is>
      </c>
      <c r="AK88" s="175" t="inlineStr">
        <is>
          <t>Ringstraße 25</t>
        </is>
      </c>
      <c r="AL88" s="176" t="inlineStr">
        <is>
          <t/>
        </is>
      </c>
      <c r="AM88" s="177" t="inlineStr">
        <is>
          <t>Uffenheim</t>
        </is>
      </c>
      <c r="AN88" s="178" t="inlineStr">
        <is>
          <t/>
        </is>
      </c>
      <c r="AO88" s="179" t="inlineStr">
        <is>
          <t>97215</t>
        </is>
      </c>
      <c r="AP88" s="180" t="inlineStr">
        <is>
          <t>Germany</t>
        </is>
      </c>
      <c r="AQ88" s="181" t="inlineStr">
        <is>
          <t>+49 (0)98 4280 4910</t>
        </is>
      </c>
      <c r="AR88" s="182" t="inlineStr">
        <is>
          <t>+49 (0)98 4280 4919 9</t>
        </is>
      </c>
      <c r="AS88" s="183" t="inlineStr">
        <is>
          <t>info@coredinate.de</t>
        </is>
      </c>
      <c r="AT88" s="184" t="inlineStr">
        <is>
          <t>Europe</t>
        </is>
      </c>
      <c r="AU88" s="185" t="inlineStr">
        <is>
          <t>Western Europe</t>
        </is>
      </c>
      <c r="AV88" s="186" t="inlineStr">
        <is>
          <t>The company raised EUR 1.9 million of Series A venture funding from Bayern Kapital, High-Tech Gründerfonds and MWN Equity Investment on September 22, 2017. The company intends to use the funds to advance product development and step up its sales and marketing activities.</t>
        </is>
      </c>
      <c r="AW88" s="187" t="inlineStr">
        <is>
          <t>Bayern Kapital, High-Tech Gründerfonds, Individual Investor, MWN Equity Investment</t>
        </is>
      </c>
      <c r="AX88" s="188" t="n">
        <v>4.0</v>
      </c>
      <c r="AY88" s="189" t="inlineStr">
        <is>
          <t/>
        </is>
      </c>
      <c r="AZ88" s="190" t="inlineStr">
        <is>
          <t/>
        </is>
      </c>
      <c r="BA88" s="191" t="inlineStr">
        <is>
          <t/>
        </is>
      </c>
      <c r="BB88" s="192" t="inlineStr">
        <is>
          <t>Bayern Kapital (www.bayernkapital.de), High-Tech Gründerfonds (www.high-tech-gruenderfonds.de)</t>
        </is>
      </c>
      <c r="BC88" s="193" t="inlineStr">
        <is>
          <t/>
        </is>
      </c>
      <c r="BD88" s="194" t="inlineStr">
        <is>
          <t/>
        </is>
      </c>
      <c r="BE88" s="195" t="inlineStr">
        <is>
          <t/>
        </is>
      </c>
      <c r="BF88" s="196" t="inlineStr">
        <is>
          <t/>
        </is>
      </c>
      <c r="BG88" s="197" t="n">
        <v>42221.0</v>
      </c>
      <c r="BH88" s="198" t="inlineStr">
        <is>
          <t/>
        </is>
      </c>
      <c r="BI88" s="199" t="inlineStr">
        <is>
          <t/>
        </is>
      </c>
      <c r="BJ88" s="200" t="inlineStr">
        <is>
          <t/>
        </is>
      </c>
      <c r="BK88" s="201" t="inlineStr">
        <is>
          <t/>
        </is>
      </c>
      <c r="BL88" s="202" t="inlineStr">
        <is>
          <t>Seed Round</t>
        </is>
      </c>
      <c r="BM88" s="203" t="inlineStr">
        <is>
          <t>Seed</t>
        </is>
      </c>
      <c r="BN88" s="204" t="inlineStr">
        <is>
          <t/>
        </is>
      </c>
      <c r="BO88" s="205" t="inlineStr">
        <is>
          <t>Venture Capital</t>
        </is>
      </c>
      <c r="BP88" s="206" t="inlineStr">
        <is>
          <t/>
        </is>
      </c>
      <c r="BQ88" s="207" t="inlineStr">
        <is>
          <t/>
        </is>
      </c>
      <c r="BR88" s="208" t="inlineStr">
        <is>
          <t/>
        </is>
      </c>
      <c r="BS88" s="209" t="inlineStr">
        <is>
          <t>Completed</t>
        </is>
      </c>
      <c r="BT88" s="210" t="n">
        <v>43000.0</v>
      </c>
      <c r="BU88" s="211" t="n">
        <v>1.9</v>
      </c>
      <c r="BV88" s="212" t="inlineStr">
        <is>
          <t>Actual</t>
        </is>
      </c>
      <c r="BW88" s="213" t="inlineStr">
        <is>
          <t/>
        </is>
      </c>
      <c r="BX88" s="214" t="inlineStr">
        <is>
          <t/>
        </is>
      </c>
      <c r="BY88" s="215" t="inlineStr">
        <is>
          <t>Early Stage VC</t>
        </is>
      </c>
      <c r="BZ88" s="216" t="inlineStr">
        <is>
          <t>Series A</t>
        </is>
      </c>
      <c r="CA88" s="217" t="inlineStr">
        <is>
          <t/>
        </is>
      </c>
      <c r="CB88" s="218" t="inlineStr">
        <is>
          <t>Venture Capital</t>
        </is>
      </c>
      <c r="CC88" s="219" t="inlineStr">
        <is>
          <t/>
        </is>
      </c>
      <c r="CD88" s="220" t="inlineStr">
        <is>
          <t/>
        </is>
      </c>
      <c r="CE88" s="221" t="inlineStr">
        <is>
          <t/>
        </is>
      </c>
      <c r="CF88" s="222" t="inlineStr">
        <is>
          <t>Completed</t>
        </is>
      </c>
      <c r="CG88" s="223" t="inlineStr">
        <is>
          <t>0,03%</t>
        </is>
      </c>
      <c r="CH88" s="224" t="inlineStr">
        <is>
          <t>76</t>
        </is>
      </c>
      <c r="CI88" s="225" t="inlineStr">
        <is>
          <t>0,00%</t>
        </is>
      </c>
      <c r="CJ88" s="226" t="inlineStr">
        <is>
          <t>15,01%</t>
        </is>
      </c>
      <c r="CK88" s="227" t="inlineStr">
        <is>
          <t>0,00%</t>
        </is>
      </c>
      <c r="CL88" s="228" t="inlineStr">
        <is>
          <t>28</t>
        </is>
      </c>
      <c r="CM88" s="229" t="inlineStr">
        <is>
          <t>0,06%</t>
        </is>
      </c>
      <c r="CN88" s="230" t="inlineStr">
        <is>
          <t>51</t>
        </is>
      </c>
      <c r="CO88" s="231" t="inlineStr">
        <is>
          <t>0,00%</t>
        </is>
      </c>
      <c r="CP88" s="232" t="inlineStr">
        <is>
          <t>37</t>
        </is>
      </c>
      <c r="CQ88" s="233" t="inlineStr">
        <is>
          <t>0,00%</t>
        </is>
      </c>
      <c r="CR88" s="234" t="inlineStr">
        <is>
          <t>20</t>
        </is>
      </c>
      <c r="CS88" s="235" t="inlineStr">
        <is>
          <t>0,11%</t>
        </is>
      </c>
      <c r="CT88" s="236" t="inlineStr">
        <is>
          <t>58</t>
        </is>
      </c>
      <c r="CU88" s="237" t="inlineStr">
        <is>
          <t>0,00%</t>
        </is>
      </c>
      <c r="CV88" s="238" t="inlineStr">
        <is>
          <t>21</t>
        </is>
      </c>
      <c r="CW88" s="239" t="inlineStr">
        <is>
          <t>1,95x</t>
        </is>
      </c>
      <c r="CX88" s="240" t="inlineStr">
        <is>
          <t>64</t>
        </is>
      </c>
      <c r="CY88" s="241" t="inlineStr">
        <is>
          <t>-0,01x</t>
        </is>
      </c>
      <c r="CZ88" s="242" t="inlineStr">
        <is>
          <t>-0,74%</t>
        </is>
      </c>
      <c r="DA88" s="243" t="inlineStr">
        <is>
          <t>2,27x</t>
        </is>
      </c>
      <c r="DB88" s="244" t="inlineStr">
        <is>
          <t>69</t>
        </is>
      </c>
      <c r="DC88" s="245" t="inlineStr">
        <is>
          <t>1,64x</t>
        </is>
      </c>
      <c r="DD88" s="246" t="inlineStr">
        <is>
          <t>58</t>
        </is>
      </c>
      <c r="DE88" s="247" t="inlineStr">
        <is>
          <t>2,61x</t>
        </is>
      </c>
      <c r="DF88" s="248" t="inlineStr">
        <is>
          <t>71</t>
        </is>
      </c>
      <c r="DG88" s="249" t="inlineStr">
        <is>
          <t>1,92x</t>
        </is>
      </c>
      <c r="DH88" s="250" t="inlineStr">
        <is>
          <t>64</t>
        </is>
      </c>
      <c r="DI88" s="251" t="inlineStr">
        <is>
          <t>3,23x</t>
        </is>
      </c>
      <c r="DJ88" s="252" t="inlineStr">
        <is>
          <t>69</t>
        </is>
      </c>
      <c r="DK88" s="253" t="inlineStr">
        <is>
          <t>0,04x</t>
        </is>
      </c>
      <c r="DL88" s="254" t="inlineStr">
        <is>
          <t>9</t>
        </is>
      </c>
      <c r="DM88" s="255" t="inlineStr">
        <is>
          <t>968</t>
        </is>
      </c>
      <c r="DN88" s="256" t="inlineStr">
        <is>
          <t>4</t>
        </is>
      </c>
      <c r="DO88" s="257" t="inlineStr">
        <is>
          <t>0,41%</t>
        </is>
      </c>
      <c r="DP88" s="258" t="inlineStr">
        <is>
          <t>2.561</t>
        </is>
      </c>
      <c r="DQ88" s="259" t="inlineStr">
        <is>
          <t>0</t>
        </is>
      </c>
      <c r="DR88" s="260" t="inlineStr">
        <is>
          <t>0,00%</t>
        </is>
      </c>
      <c r="DS88" s="261" t="inlineStr">
        <is>
          <t>69</t>
        </is>
      </c>
      <c r="DT88" s="262" t="inlineStr">
        <is>
          <t>-1</t>
        </is>
      </c>
      <c r="DU88" s="263" t="inlineStr">
        <is>
          <t>-1,43%</t>
        </is>
      </c>
      <c r="DV88" s="264" t="inlineStr">
        <is>
          <t>16</t>
        </is>
      </c>
      <c r="DW88" s="265" t="inlineStr">
        <is>
          <t>0</t>
        </is>
      </c>
      <c r="DX88" s="266" t="inlineStr">
        <is>
          <t>0,00%</t>
        </is>
      </c>
      <c r="DY88" s="267" t="inlineStr">
        <is>
          <t>PitchBook Research</t>
        </is>
      </c>
      <c r="DZ88" s="786">
        <f>HYPERLINK("https://my.pitchbook.com?c=121189-42", "View company online")</f>
      </c>
    </row>
    <row r="89">
      <c r="A89" s="9" t="inlineStr">
        <is>
          <t>62330-86</t>
        </is>
      </c>
      <c r="B89" s="10" t="inlineStr">
        <is>
          <t>Aeristech</t>
        </is>
      </c>
      <c r="C89" s="11" t="inlineStr">
        <is>
          <t/>
        </is>
      </c>
      <c r="D89" s="12" t="inlineStr">
        <is>
          <t/>
        </is>
      </c>
      <c r="E89" s="13" t="inlineStr">
        <is>
          <t>62330-86</t>
        </is>
      </c>
      <c r="F89" s="14" t="inlineStr">
        <is>
          <t>Manufacturer of automotive components intended to boost engines while reducing fuel consumption and CO2 emissions. The company's automotive components include motor accelerators, electric superchargers and turbochargers enabling customers to combust fuel far more effectively at low revs than vehicles fitted with conventional turbochargers.</t>
        </is>
      </c>
      <c r="G89" s="15" t="inlineStr">
        <is>
          <t>Business Products and Services (B2B)</t>
        </is>
      </c>
      <c r="H89" s="16" t="inlineStr">
        <is>
          <t>Commercial Products</t>
        </is>
      </c>
      <c r="I89" s="17" t="inlineStr">
        <is>
          <t>Industrial Supplies and Parts</t>
        </is>
      </c>
      <c r="J89" s="18" t="inlineStr">
        <is>
          <t>Industrial Supplies and Parts*; Automotive</t>
        </is>
      </c>
      <c r="K89" s="19" t="inlineStr">
        <is>
          <t>Manufacturing</t>
        </is>
      </c>
      <c r="L89" s="20" t="inlineStr">
        <is>
          <t>Venture Capital-Backed</t>
        </is>
      </c>
      <c r="M89" s="21" t="n">
        <v>1.95</v>
      </c>
      <c r="N89" s="22" t="inlineStr">
        <is>
          <t>Generating Revenue</t>
        </is>
      </c>
      <c r="O89" s="23" t="inlineStr">
        <is>
          <t>Privately Held (backing)</t>
        </is>
      </c>
      <c r="P89" s="24" t="inlineStr">
        <is>
          <t>Venture Capital</t>
        </is>
      </c>
      <c r="Q89" s="25" t="inlineStr">
        <is>
          <t>www.aeristech.co.uk</t>
        </is>
      </c>
      <c r="R89" s="26" t="n">
        <v>14.0</v>
      </c>
      <c r="S89" s="27" t="inlineStr">
        <is>
          <t/>
        </is>
      </c>
      <c r="T89" s="28" t="inlineStr">
        <is>
          <t/>
        </is>
      </c>
      <c r="U89" s="29" t="n">
        <v>2006.0</v>
      </c>
      <c r="V89" s="30" t="inlineStr">
        <is>
          <t/>
        </is>
      </c>
      <c r="W89" s="31" t="inlineStr">
        <is>
          <t/>
        </is>
      </c>
      <c r="X89" s="32" t="inlineStr">
        <is>
          <t/>
        </is>
      </c>
      <c r="Y89" s="33" t="inlineStr">
        <is>
          <t/>
        </is>
      </c>
      <c r="Z89" s="34" t="inlineStr">
        <is>
          <t/>
        </is>
      </c>
      <c r="AA89" s="35" t="inlineStr">
        <is>
          <t/>
        </is>
      </c>
      <c r="AB89" s="36" t="inlineStr">
        <is>
          <t/>
        </is>
      </c>
      <c r="AC89" s="37" t="inlineStr">
        <is>
          <t/>
        </is>
      </c>
      <c r="AD89" s="38" t="inlineStr">
        <is>
          <t>FY 2014</t>
        </is>
      </c>
      <c r="AE89" s="39" t="inlineStr">
        <is>
          <t>64818-46P</t>
        </is>
      </c>
      <c r="AF89" s="40" t="inlineStr">
        <is>
          <t>Bryn Richards</t>
        </is>
      </c>
      <c r="AG89" s="41" t="inlineStr">
        <is>
          <t>Chief Technology Officer, Founder &amp; Board Member</t>
        </is>
      </c>
      <c r="AH89" s="42" t="inlineStr">
        <is>
          <t>bryn.richards@aeristech.co.uk</t>
        </is>
      </c>
      <c r="AI89" s="43" t="inlineStr">
        <is>
          <t>+44 (0)19 2625 8422</t>
        </is>
      </c>
      <c r="AJ89" s="44" t="inlineStr">
        <is>
          <t>Kenilworth, United Kingdom</t>
        </is>
      </c>
      <c r="AK89" s="45" t="inlineStr">
        <is>
          <t>Unit G, Princes Drive Industrial Estate</t>
        </is>
      </c>
      <c r="AL89" s="46" t="inlineStr">
        <is>
          <t>Coventry Road, Warwickshire</t>
        </is>
      </c>
      <c r="AM89" s="47" t="inlineStr">
        <is>
          <t>Kenilworth</t>
        </is>
      </c>
      <c r="AN89" s="48" t="inlineStr">
        <is>
          <t>England</t>
        </is>
      </c>
      <c r="AO89" s="49" t="inlineStr">
        <is>
          <t>CV8 2FD</t>
        </is>
      </c>
      <c r="AP89" s="50" t="inlineStr">
        <is>
          <t>United Kingdom</t>
        </is>
      </c>
      <c r="AQ89" s="51" t="inlineStr">
        <is>
          <t>+44 (0)19 2625 8422</t>
        </is>
      </c>
      <c r="AR89" s="52" t="inlineStr">
        <is>
          <t/>
        </is>
      </c>
      <c r="AS89" s="53" t="inlineStr">
        <is>
          <t>info@aeristech.co.uk</t>
        </is>
      </c>
      <c r="AT89" s="54" t="inlineStr">
        <is>
          <t>Europe</t>
        </is>
      </c>
      <c r="AU89" s="55" t="inlineStr">
        <is>
          <t>Western Europe</t>
        </is>
      </c>
      <c r="AV89" s="56" t="inlineStr">
        <is>
          <t>The company raised GBP 483,766 of angel funding in a deal led by Ernest Kochmann via crowdfunding platform SyndicateRoom in February 2017.</t>
        </is>
      </c>
      <c r="AW89" s="57" t="inlineStr">
        <is>
          <t>Ernest Kochmann, Individual Investor, Midven, Minerva Business Angel Network, New Wave Ventures, Niche Vehicle Network</t>
        </is>
      </c>
      <c r="AX89" s="58" t="n">
        <v>6.0</v>
      </c>
      <c r="AY89" s="59" t="inlineStr">
        <is>
          <t/>
        </is>
      </c>
      <c r="AZ89" s="60" t="inlineStr">
        <is>
          <t/>
        </is>
      </c>
      <c r="BA89" s="61" t="inlineStr">
        <is>
          <t/>
        </is>
      </c>
      <c r="BB89" s="62" t="inlineStr">
        <is>
          <t>Midven (www.midven.co.uk), Minerva Business Angel Network (www.minerva.uk.net), New Wave Ventures (www.nwventures.co.uk)</t>
        </is>
      </c>
      <c r="BC89" s="63" t="inlineStr">
        <is>
          <t/>
        </is>
      </c>
      <c r="BD89" s="64" t="inlineStr">
        <is>
          <t/>
        </is>
      </c>
      <c r="BE89" s="65" t="inlineStr">
        <is>
          <t>Harper James Solicitors (Legal Advisor)</t>
        </is>
      </c>
      <c r="BF89" s="66" t="inlineStr">
        <is>
          <t>SyndicateRoom (Lead Manager or Arranger)</t>
        </is>
      </c>
      <c r="BG89" s="67" t="n">
        <v>40345.0</v>
      </c>
      <c r="BH89" s="68" t="n">
        <v>0.6</v>
      </c>
      <c r="BI89" s="69" t="inlineStr">
        <is>
          <t>Actual</t>
        </is>
      </c>
      <c r="BJ89" s="70" t="inlineStr">
        <is>
          <t/>
        </is>
      </c>
      <c r="BK89" s="71" t="inlineStr">
        <is>
          <t/>
        </is>
      </c>
      <c r="BL89" s="72" t="inlineStr">
        <is>
          <t>Early Stage VC</t>
        </is>
      </c>
      <c r="BM89" s="73" t="inlineStr">
        <is>
          <t/>
        </is>
      </c>
      <c r="BN89" s="74" t="inlineStr">
        <is>
          <t/>
        </is>
      </c>
      <c r="BO89" s="75" t="inlineStr">
        <is>
          <t>Venture Capital</t>
        </is>
      </c>
      <c r="BP89" s="76" t="inlineStr">
        <is>
          <t/>
        </is>
      </c>
      <c r="BQ89" s="77" t="inlineStr">
        <is>
          <t/>
        </is>
      </c>
      <c r="BR89" s="78" t="inlineStr">
        <is>
          <t/>
        </is>
      </c>
      <c r="BS89" s="79" t="inlineStr">
        <is>
          <t>Completed</t>
        </is>
      </c>
      <c r="BT89" s="80" t="n">
        <v>43012.0</v>
      </c>
      <c r="BU89" s="81" t="n">
        <v>1.05</v>
      </c>
      <c r="BV89" s="82" t="inlineStr">
        <is>
          <t>Actual</t>
        </is>
      </c>
      <c r="BW89" s="83" t="n">
        <v>3.82</v>
      </c>
      <c r="BX89" s="84" t="inlineStr">
        <is>
          <t>Actual</t>
        </is>
      </c>
      <c r="BY89" s="85" t="inlineStr">
        <is>
          <t>Angel (individual)</t>
        </is>
      </c>
      <c r="BZ89" s="86" t="inlineStr">
        <is>
          <t>Angel</t>
        </is>
      </c>
      <c r="CA89" s="87" t="inlineStr">
        <is>
          <t/>
        </is>
      </c>
      <c r="CB89" s="88" t="inlineStr">
        <is>
          <t>Individual</t>
        </is>
      </c>
      <c r="CC89" s="89" t="inlineStr">
        <is>
          <t/>
        </is>
      </c>
      <c r="CD89" s="90" t="inlineStr">
        <is>
          <t/>
        </is>
      </c>
      <c r="CE89" s="91" t="inlineStr">
        <is>
          <t/>
        </is>
      </c>
      <c r="CF89" s="92" t="inlineStr">
        <is>
          <t>Completed</t>
        </is>
      </c>
      <c r="CG89" s="93" t="inlineStr">
        <is>
          <t>-0,44%</t>
        </is>
      </c>
      <c r="CH89" s="94" t="inlineStr">
        <is>
          <t>19</t>
        </is>
      </c>
      <c r="CI89" s="95" t="inlineStr">
        <is>
          <t>-0,07%</t>
        </is>
      </c>
      <c r="CJ89" s="96" t="inlineStr">
        <is>
          <t>-18,19%</t>
        </is>
      </c>
      <c r="CK89" s="97" t="inlineStr">
        <is>
          <t>-0,86%</t>
        </is>
      </c>
      <c r="CL89" s="98" t="inlineStr">
        <is>
          <t>20</t>
        </is>
      </c>
      <c r="CM89" s="99" t="inlineStr">
        <is>
          <t>-0,03%</t>
        </is>
      </c>
      <c r="CN89" s="100" t="inlineStr">
        <is>
          <t>13</t>
        </is>
      </c>
      <c r="CO89" s="101" t="inlineStr">
        <is>
          <t>-0,13%</t>
        </is>
      </c>
      <c r="CP89" s="102" t="inlineStr">
        <is>
          <t>36</t>
        </is>
      </c>
      <c r="CQ89" s="103" t="inlineStr">
        <is>
          <t>-1,59%</t>
        </is>
      </c>
      <c r="CR89" s="104" t="inlineStr">
        <is>
          <t>5</t>
        </is>
      </c>
      <c r="CS89" s="105" t="inlineStr">
        <is>
          <t>0,00%</t>
        </is>
      </c>
      <c r="CT89" s="106" t="inlineStr">
        <is>
          <t>18</t>
        </is>
      </c>
      <c r="CU89" s="107" t="inlineStr">
        <is>
          <t>-0,06%</t>
        </is>
      </c>
      <c r="CV89" s="108" t="inlineStr">
        <is>
          <t>12</t>
        </is>
      </c>
      <c r="CW89" s="109" t="inlineStr">
        <is>
          <t>2,59x</t>
        </is>
      </c>
      <c r="CX89" s="110" t="inlineStr">
        <is>
          <t>69</t>
        </is>
      </c>
      <c r="CY89" s="111" t="inlineStr">
        <is>
          <t>-0,04x</t>
        </is>
      </c>
      <c r="CZ89" s="112" t="inlineStr">
        <is>
          <t>-1,36%</t>
        </is>
      </c>
      <c r="DA89" s="113" t="inlineStr">
        <is>
          <t>1,65x</t>
        </is>
      </c>
      <c r="DB89" s="114" t="inlineStr">
        <is>
          <t>63</t>
        </is>
      </c>
      <c r="DC89" s="115" t="inlineStr">
        <is>
          <t>3,52x</t>
        </is>
      </c>
      <c r="DD89" s="116" t="inlineStr">
        <is>
          <t>71</t>
        </is>
      </c>
      <c r="DE89" s="117" t="inlineStr">
        <is>
          <t>0,47x</t>
        </is>
      </c>
      <c r="DF89" s="118" t="inlineStr">
        <is>
          <t>32</t>
        </is>
      </c>
      <c r="DG89" s="119" t="inlineStr">
        <is>
          <t>2,83x</t>
        </is>
      </c>
      <c r="DH89" s="120" t="inlineStr">
        <is>
          <t>71</t>
        </is>
      </c>
      <c r="DI89" s="121" t="inlineStr">
        <is>
          <t>0,05x</t>
        </is>
      </c>
      <c r="DJ89" s="122" t="inlineStr">
        <is>
          <t>8</t>
        </is>
      </c>
      <c r="DK89" s="123" t="inlineStr">
        <is>
          <t>6,99x</t>
        </is>
      </c>
      <c r="DL89" s="124" t="inlineStr">
        <is>
          <t>83</t>
        </is>
      </c>
      <c r="DM89" s="125" t="inlineStr">
        <is>
          <t>175</t>
        </is>
      </c>
      <c r="DN89" s="126" t="inlineStr">
        <is>
          <t>-3</t>
        </is>
      </c>
      <c r="DO89" s="127" t="inlineStr">
        <is>
          <t>-1,69%</t>
        </is>
      </c>
      <c r="DP89" s="128" t="inlineStr">
        <is>
          <t>38</t>
        </is>
      </c>
      <c r="DQ89" s="129" t="inlineStr">
        <is>
          <t>1</t>
        </is>
      </c>
      <c r="DR89" s="130" t="inlineStr">
        <is>
          <t>2,70%</t>
        </is>
      </c>
      <c r="DS89" s="131" t="inlineStr">
        <is>
          <t>102</t>
        </is>
      </c>
      <c r="DT89" s="132" t="inlineStr">
        <is>
          <t>-2</t>
        </is>
      </c>
      <c r="DU89" s="133" t="inlineStr">
        <is>
          <t>-1,92%</t>
        </is>
      </c>
      <c r="DV89" s="134" t="inlineStr">
        <is>
          <t>2.615</t>
        </is>
      </c>
      <c r="DW89" s="135" t="inlineStr">
        <is>
          <t>-8</t>
        </is>
      </c>
      <c r="DX89" s="136" t="inlineStr">
        <is>
          <t>-0,30%</t>
        </is>
      </c>
      <c r="DY89" s="137" t="inlineStr">
        <is>
          <t>PitchBook Research</t>
        </is>
      </c>
      <c r="DZ89" s="785">
        <f>HYPERLINK("https://my.pitchbook.com?c=62330-86", "View company online")</f>
      </c>
    </row>
    <row r="90">
      <c r="A90" s="139" t="inlineStr">
        <is>
          <t>169783-84</t>
        </is>
      </c>
      <c r="B90" s="140" t="inlineStr">
        <is>
          <t>Bud (banking platform)</t>
        </is>
      </c>
      <c r="C90" s="141" t="inlineStr">
        <is>
          <t/>
        </is>
      </c>
      <c r="D90" s="142" t="inlineStr">
        <is>
          <t/>
        </is>
      </c>
      <c r="E90" s="143" t="inlineStr">
        <is>
          <t>169783-84</t>
        </is>
      </c>
      <c r="F90" s="144" t="inlineStr">
        <is>
          <t>Developer of a financial marketplace created to help users find the right products for their needs or goals. The company's banking platform offers a single interface where users can find and understand modular financial products from fintech and traditional banks, enabling users to find the right products for their use case.</t>
        </is>
      </c>
      <c r="G90" s="145" t="inlineStr">
        <is>
          <t>Information Technology</t>
        </is>
      </c>
      <c r="H90" s="146" t="inlineStr">
        <is>
          <t>Software</t>
        </is>
      </c>
      <c r="I90" s="147" t="inlineStr">
        <is>
          <t>Financial Software</t>
        </is>
      </c>
      <c r="J90" s="148" t="inlineStr">
        <is>
          <t>Financial Software*; Media and Information Services (B2B); Application Software</t>
        </is>
      </c>
      <c r="K90" s="149" t="inlineStr">
        <is>
          <t>FinTech, SaaS</t>
        </is>
      </c>
      <c r="L90" s="150" t="inlineStr">
        <is>
          <t>Venture Capital-Backed</t>
        </is>
      </c>
      <c r="M90" s="151" t="n">
        <v>1.97</v>
      </c>
      <c r="N90" s="152" t="inlineStr">
        <is>
          <t>Product In Beta Test</t>
        </is>
      </c>
      <c r="O90" s="153" t="inlineStr">
        <is>
          <t>Privately Held (backing)</t>
        </is>
      </c>
      <c r="P90" s="154" t="inlineStr">
        <is>
          <t>Venture Capital</t>
        </is>
      </c>
      <c r="Q90" s="155" t="inlineStr">
        <is>
          <t>www.thisisbud.com</t>
        </is>
      </c>
      <c r="R90" s="156" t="inlineStr">
        <is>
          <t/>
        </is>
      </c>
      <c r="S90" s="157" t="inlineStr">
        <is>
          <t/>
        </is>
      </c>
      <c r="T90" s="158" t="inlineStr">
        <is>
          <t/>
        </is>
      </c>
      <c r="U90" s="159" t="n">
        <v>2015.0</v>
      </c>
      <c r="V90" s="160" t="inlineStr">
        <is>
          <t/>
        </is>
      </c>
      <c r="W90" s="161" t="inlineStr">
        <is>
          <t/>
        </is>
      </c>
      <c r="X90" s="162" t="inlineStr">
        <is>
          <t/>
        </is>
      </c>
      <c r="Y90" s="163" t="inlineStr">
        <is>
          <t/>
        </is>
      </c>
      <c r="Z90" s="164" t="inlineStr">
        <is>
          <t/>
        </is>
      </c>
      <c r="AA90" s="165" t="inlineStr">
        <is>
          <t/>
        </is>
      </c>
      <c r="AB90" s="166" t="inlineStr">
        <is>
          <t/>
        </is>
      </c>
      <c r="AC90" s="167" t="inlineStr">
        <is>
          <t/>
        </is>
      </c>
      <c r="AD90" s="168" t="inlineStr">
        <is>
          <t/>
        </is>
      </c>
      <c r="AE90" s="169" t="inlineStr">
        <is>
          <t>154750-87P</t>
        </is>
      </c>
      <c r="AF90" s="170" t="inlineStr">
        <is>
          <t>Edward Maslaveckas</t>
        </is>
      </c>
      <c r="AG90" s="171" t="inlineStr">
        <is>
          <t>Co-Founder &amp; Chief Executive Officer</t>
        </is>
      </c>
      <c r="AH90" s="172" t="inlineStr">
        <is>
          <t>ed@thisisbud.com</t>
        </is>
      </c>
      <c r="AI90" s="173" t="inlineStr">
        <is>
          <t>+44 (0)20 3290 4121</t>
        </is>
      </c>
      <c r="AJ90" s="174" t="inlineStr">
        <is>
          <t>London, United Kingdom</t>
        </is>
      </c>
      <c r="AK90" s="175" t="inlineStr">
        <is>
          <t>160 Brick Lane</t>
        </is>
      </c>
      <c r="AL90" s="176" t="inlineStr">
        <is>
          <t>Unit D</t>
        </is>
      </c>
      <c r="AM90" s="177" t="inlineStr">
        <is>
          <t>London</t>
        </is>
      </c>
      <c r="AN90" s="178" t="inlineStr">
        <is>
          <t>England</t>
        </is>
      </c>
      <c r="AO90" s="179" t="inlineStr">
        <is>
          <t>E1 6RU</t>
        </is>
      </c>
      <c r="AP90" s="180" t="inlineStr">
        <is>
          <t>United Kingdom</t>
        </is>
      </c>
      <c r="AQ90" s="181" t="inlineStr">
        <is>
          <t>+44 (0)20 3290 4121</t>
        </is>
      </c>
      <c r="AR90" s="182" t="inlineStr">
        <is>
          <t/>
        </is>
      </c>
      <c r="AS90" s="183" t="inlineStr">
        <is>
          <t>coffee@thisis.com</t>
        </is>
      </c>
      <c r="AT90" s="184" t="inlineStr">
        <is>
          <t>Europe</t>
        </is>
      </c>
      <c r="AU90" s="185" t="inlineStr">
        <is>
          <t>Western Europe</t>
        </is>
      </c>
      <c r="AV90" s="186" t="inlineStr">
        <is>
          <t>The company raised GBP 1.5 million of venture funding in a round co-led by Banco de Sabadell and Investec Ventures on October 25, 2017. Force Over Mass Capital also participated in this round. The company is using the fund to expand operations, hire new people and to continue to develop the platform.</t>
        </is>
      </c>
      <c r="AW90" s="187" t="inlineStr">
        <is>
          <t>Banco de Sabadell, FinTech Innovation Lab, Force Over Mass Capital, Investec Ventures, TechHub</t>
        </is>
      </c>
      <c r="AX90" s="188" t="n">
        <v>5.0</v>
      </c>
      <c r="AY90" s="189" t="inlineStr">
        <is>
          <t/>
        </is>
      </c>
      <c r="AZ90" s="190" t="inlineStr">
        <is>
          <t/>
        </is>
      </c>
      <c r="BA90" s="191" t="inlineStr">
        <is>
          <t/>
        </is>
      </c>
      <c r="BB90" s="192" t="inlineStr">
        <is>
          <t>Banco de Sabadell (www.grupbancsabadell.com), FinTech Innovation Lab (www.fintechinnovationlab.com), Force Over Mass Capital (www.fomcap.com), Investec Ventures (www.investec.ie), TechHub (www.techhub.com)</t>
        </is>
      </c>
      <c r="BC90" s="193" t="inlineStr">
        <is>
          <t/>
        </is>
      </c>
      <c r="BD90" s="194" t="inlineStr">
        <is>
          <t/>
        </is>
      </c>
      <c r="BE90" s="195" t="inlineStr">
        <is>
          <t/>
        </is>
      </c>
      <c r="BF90" s="196" t="inlineStr">
        <is>
          <t/>
        </is>
      </c>
      <c r="BG90" s="197" t="n">
        <v>42573.0</v>
      </c>
      <c r="BH90" s="198" t="inlineStr">
        <is>
          <t/>
        </is>
      </c>
      <c r="BI90" s="199" t="inlineStr">
        <is>
          <t/>
        </is>
      </c>
      <c r="BJ90" s="200" t="inlineStr">
        <is>
          <t/>
        </is>
      </c>
      <c r="BK90" s="201" t="inlineStr">
        <is>
          <t/>
        </is>
      </c>
      <c r="BL90" s="202" t="inlineStr">
        <is>
          <t>Accelerator/Incubator</t>
        </is>
      </c>
      <c r="BM90" s="203" t="inlineStr">
        <is>
          <t/>
        </is>
      </c>
      <c r="BN90" s="204" t="inlineStr">
        <is>
          <t/>
        </is>
      </c>
      <c r="BO90" s="205" t="inlineStr">
        <is>
          <t>Other</t>
        </is>
      </c>
      <c r="BP90" s="206" t="inlineStr">
        <is>
          <t/>
        </is>
      </c>
      <c r="BQ90" s="207" t="inlineStr">
        <is>
          <t/>
        </is>
      </c>
      <c r="BR90" s="208" t="inlineStr">
        <is>
          <t/>
        </is>
      </c>
      <c r="BS90" s="209" t="inlineStr">
        <is>
          <t>Completed</t>
        </is>
      </c>
      <c r="BT90" s="210" t="n">
        <v>43033.0</v>
      </c>
      <c r="BU90" s="211" t="n">
        <v>1.68</v>
      </c>
      <c r="BV90" s="212" t="inlineStr">
        <is>
          <t>Actual</t>
        </is>
      </c>
      <c r="BW90" s="213" t="inlineStr">
        <is>
          <t/>
        </is>
      </c>
      <c r="BX90" s="214" t="inlineStr">
        <is>
          <t/>
        </is>
      </c>
      <c r="BY90" s="215" t="inlineStr">
        <is>
          <t>Early Stage VC</t>
        </is>
      </c>
      <c r="BZ90" s="216" t="inlineStr">
        <is>
          <t/>
        </is>
      </c>
      <c r="CA90" s="217" t="inlineStr">
        <is>
          <t/>
        </is>
      </c>
      <c r="CB90" s="218" t="inlineStr">
        <is>
          <t>Venture Capital</t>
        </is>
      </c>
      <c r="CC90" s="219" t="inlineStr">
        <is>
          <t/>
        </is>
      </c>
      <c r="CD90" s="220" t="inlineStr">
        <is>
          <t/>
        </is>
      </c>
      <c r="CE90" s="221" t="inlineStr">
        <is>
          <t/>
        </is>
      </c>
      <c r="CF90" s="222" t="inlineStr">
        <is>
          <t>Completed</t>
        </is>
      </c>
      <c r="CG90" s="223" t="inlineStr">
        <is>
          <t>0,56%</t>
        </is>
      </c>
      <c r="CH90" s="224" t="inlineStr">
        <is>
          <t>92</t>
        </is>
      </c>
      <c r="CI90" s="225" t="inlineStr">
        <is>
          <t>-0,02%</t>
        </is>
      </c>
      <c r="CJ90" s="226" t="inlineStr">
        <is>
          <t>-2,67%</t>
        </is>
      </c>
      <c r="CK90" s="227" t="inlineStr">
        <is>
          <t>-0,33%</t>
        </is>
      </c>
      <c r="CL90" s="228" t="inlineStr">
        <is>
          <t>25</t>
        </is>
      </c>
      <c r="CM90" s="229" t="inlineStr">
        <is>
          <t>1,45%</t>
        </is>
      </c>
      <c r="CN90" s="230" t="inlineStr">
        <is>
          <t>98</t>
        </is>
      </c>
      <c r="CO90" s="231" t="inlineStr">
        <is>
          <t>-0,66%</t>
        </is>
      </c>
      <c r="CP90" s="232" t="inlineStr">
        <is>
          <t>34</t>
        </is>
      </c>
      <c r="CQ90" s="233" t="inlineStr">
        <is>
          <t>0,00%</t>
        </is>
      </c>
      <c r="CR90" s="234" t="inlineStr">
        <is>
          <t>20</t>
        </is>
      </c>
      <c r="CS90" s="235" t="inlineStr">
        <is>
          <t>0,84%</t>
        </is>
      </c>
      <c r="CT90" s="236" t="inlineStr">
        <is>
          <t>93</t>
        </is>
      </c>
      <c r="CU90" s="237" t="inlineStr">
        <is>
          <t>2,06%</t>
        </is>
      </c>
      <c r="CV90" s="238" t="inlineStr">
        <is>
          <t>99</t>
        </is>
      </c>
      <c r="CW90" s="239" t="inlineStr">
        <is>
          <t>2,85x</t>
        </is>
      </c>
      <c r="CX90" s="240" t="inlineStr">
        <is>
          <t>71</t>
        </is>
      </c>
      <c r="CY90" s="241" t="inlineStr">
        <is>
          <t>0,02x</t>
        </is>
      </c>
      <c r="CZ90" s="242" t="inlineStr">
        <is>
          <t>0,78%</t>
        </is>
      </c>
      <c r="DA90" s="243" t="inlineStr">
        <is>
          <t>2,76x</t>
        </is>
      </c>
      <c r="DB90" s="244" t="inlineStr">
        <is>
          <t>72</t>
        </is>
      </c>
      <c r="DC90" s="245" t="inlineStr">
        <is>
          <t>2,93x</t>
        </is>
      </c>
      <c r="DD90" s="246" t="inlineStr">
        <is>
          <t>68</t>
        </is>
      </c>
      <c r="DE90" s="247" t="inlineStr">
        <is>
          <t>3,99x</t>
        </is>
      </c>
      <c r="DF90" s="248" t="inlineStr">
        <is>
          <t>78</t>
        </is>
      </c>
      <c r="DG90" s="249" t="inlineStr">
        <is>
          <t>1,53x</t>
        </is>
      </c>
      <c r="DH90" s="250" t="inlineStr">
        <is>
          <t>59</t>
        </is>
      </c>
      <c r="DI90" s="251" t="inlineStr">
        <is>
          <t>0,53x</t>
        </is>
      </c>
      <c r="DJ90" s="252" t="inlineStr">
        <is>
          <t>40</t>
        </is>
      </c>
      <c r="DK90" s="253" t="inlineStr">
        <is>
          <t>5,34x</t>
        </is>
      </c>
      <c r="DL90" s="254" t="inlineStr">
        <is>
          <t>80</t>
        </is>
      </c>
      <c r="DM90" s="255" t="inlineStr">
        <is>
          <t>1.487</t>
        </is>
      </c>
      <c r="DN90" s="256" t="inlineStr">
        <is>
          <t>-21</t>
        </is>
      </c>
      <c r="DO90" s="257" t="inlineStr">
        <is>
          <t>-1,39%</t>
        </is>
      </c>
      <c r="DP90" s="258" t="inlineStr">
        <is>
          <t>418</t>
        </is>
      </c>
      <c r="DQ90" s="259" t="inlineStr">
        <is>
          <t>1</t>
        </is>
      </c>
      <c r="DR90" s="260" t="inlineStr">
        <is>
          <t>0,24%</t>
        </is>
      </c>
      <c r="DS90" s="261" t="inlineStr">
        <is>
          <t>53</t>
        </is>
      </c>
      <c r="DT90" s="262" t="inlineStr">
        <is>
          <t>3</t>
        </is>
      </c>
      <c r="DU90" s="263" t="inlineStr">
        <is>
          <t>6,00%</t>
        </is>
      </c>
      <c r="DV90" s="264" t="inlineStr">
        <is>
          <t>1.982</t>
        </is>
      </c>
      <c r="DW90" s="265" t="inlineStr">
        <is>
          <t>22</t>
        </is>
      </c>
      <c r="DX90" s="266" t="inlineStr">
        <is>
          <t>1,12%</t>
        </is>
      </c>
      <c r="DY90" s="267" t="inlineStr">
        <is>
          <t>PitchBook Research</t>
        </is>
      </c>
      <c r="DZ90" s="786">
        <f>HYPERLINK("https://my.pitchbook.com?c=169783-84", "View company online")</f>
      </c>
    </row>
    <row r="91">
      <c r="A91" s="9" t="inlineStr">
        <is>
          <t>221515-39</t>
        </is>
      </c>
      <c r="B91" s="10" t="inlineStr">
        <is>
          <t>Comet (Human Capital Services)</t>
        </is>
      </c>
      <c r="C91" s="11" t="inlineStr">
        <is>
          <t>Skillee</t>
        </is>
      </c>
      <c r="D91" s="12" t="inlineStr">
        <is>
          <t/>
        </is>
      </c>
      <c r="E91" s="13" t="inlineStr">
        <is>
          <t>221515-39</t>
        </is>
      </c>
      <c r="F91" s="14" t="inlineStr">
        <is>
          <t>Provider of an online platform intended to connect freelancers in fields like application development or big data with companies and organizations that need them. The company's online platform helps in evaluating freelancers and henceforth connecting them with organization looking for people with those particular skills, enabling the clients to search and pick freelancers for any particular job through a single platform.</t>
        </is>
      </c>
      <c r="G91" s="15" t="inlineStr">
        <is>
          <t>Business Products and Services (B2B)</t>
        </is>
      </c>
      <c r="H91" s="16" t="inlineStr">
        <is>
          <t>Commercial Services</t>
        </is>
      </c>
      <c r="I91" s="17" t="inlineStr">
        <is>
          <t>Human Capital Services</t>
        </is>
      </c>
      <c r="J91" s="18" t="inlineStr">
        <is>
          <t>Human Capital Services*; Media and Information Services (B2B); Application Software</t>
        </is>
      </c>
      <c r="K91" s="19" t="inlineStr">
        <is>
          <t>Big Data</t>
        </is>
      </c>
      <c r="L91" s="20" t="inlineStr">
        <is>
          <t>Venture Capital-Backed</t>
        </is>
      </c>
      <c r="M91" s="21" t="n">
        <v>2.0</v>
      </c>
      <c r="N91" s="22" t="inlineStr">
        <is>
          <t>Generating Revenue</t>
        </is>
      </c>
      <c r="O91" s="23" t="inlineStr">
        <is>
          <t>Privately Held (backing)</t>
        </is>
      </c>
      <c r="P91" s="24" t="inlineStr">
        <is>
          <t>Venture Capital</t>
        </is>
      </c>
      <c r="Q91" s="25" t="inlineStr">
        <is>
          <t>www.hellocomet.co</t>
        </is>
      </c>
      <c r="R91" s="26" t="inlineStr">
        <is>
          <t/>
        </is>
      </c>
      <c r="S91" s="27" t="inlineStr">
        <is>
          <t/>
        </is>
      </c>
      <c r="T91" s="28" t="inlineStr">
        <is>
          <t/>
        </is>
      </c>
      <c r="U91" s="29" t="n">
        <v>2016.0</v>
      </c>
      <c r="V91" s="30" t="inlineStr">
        <is>
          <t/>
        </is>
      </c>
      <c r="W91" s="31" t="inlineStr">
        <is>
          <t/>
        </is>
      </c>
      <c r="X91" s="32" t="inlineStr">
        <is>
          <t/>
        </is>
      </c>
      <c r="Y91" s="33" t="inlineStr">
        <is>
          <t/>
        </is>
      </c>
      <c r="Z91" s="34" t="inlineStr">
        <is>
          <t/>
        </is>
      </c>
      <c r="AA91" s="35" t="inlineStr">
        <is>
          <t/>
        </is>
      </c>
      <c r="AB91" s="36" t="inlineStr">
        <is>
          <t/>
        </is>
      </c>
      <c r="AC91" s="37" t="inlineStr">
        <is>
          <t/>
        </is>
      </c>
      <c r="AD91" s="38" t="inlineStr">
        <is>
          <t/>
        </is>
      </c>
      <c r="AE91" s="39" t="inlineStr">
        <is>
          <t>172858-51P</t>
        </is>
      </c>
      <c r="AF91" s="40" t="inlineStr">
        <is>
          <t>Charles Thomas</t>
        </is>
      </c>
      <c r="AG91" s="41" t="inlineStr">
        <is>
          <t>Chief Executive Officer &amp; Co-Founder</t>
        </is>
      </c>
      <c r="AH91" s="42" t="inlineStr">
        <is>
          <t>charles.thomas@hellocomet.co</t>
        </is>
      </c>
      <c r="AI91" s="43" t="inlineStr">
        <is>
          <t/>
        </is>
      </c>
      <c r="AJ91" s="44" t="inlineStr">
        <is>
          <t>Paris, France</t>
        </is>
      </c>
      <c r="AK91" s="45" t="inlineStr">
        <is>
          <t/>
        </is>
      </c>
      <c r="AL91" s="46" t="inlineStr">
        <is>
          <t/>
        </is>
      </c>
      <c r="AM91" s="47" t="inlineStr">
        <is>
          <t>Paris</t>
        </is>
      </c>
      <c r="AN91" s="48" t="inlineStr">
        <is>
          <t/>
        </is>
      </c>
      <c r="AO91" s="49" t="inlineStr">
        <is>
          <t/>
        </is>
      </c>
      <c r="AP91" s="50" t="inlineStr">
        <is>
          <t>France</t>
        </is>
      </c>
      <c r="AQ91" s="51" t="inlineStr">
        <is>
          <t/>
        </is>
      </c>
      <c r="AR91" s="52" t="inlineStr">
        <is>
          <t/>
        </is>
      </c>
      <c r="AS91" s="53" t="inlineStr">
        <is>
          <t/>
        </is>
      </c>
      <c r="AT91" s="54" t="inlineStr">
        <is>
          <t>Europe</t>
        </is>
      </c>
      <c r="AU91" s="55" t="inlineStr">
        <is>
          <t>Western Europe</t>
        </is>
      </c>
      <c r="AV91" s="56" t="inlineStr">
        <is>
          <t>The company raised EUR 2 million of seed funding from Otium and Kima Ventures on October 18, 2017. The company intends to use the funds to further develop the marketplace, continue to build its community of tech &amp; data freelancers, and expand in France and other European countries.</t>
        </is>
      </c>
      <c r="AW91" s="57" t="inlineStr">
        <is>
          <t>Kima Ventures, Otium</t>
        </is>
      </c>
      <c r="AX91" s="58" t="n">
        <v>2.0</v>
      </c>
      <c r="AY91" s="59" t="inlineStr">
        <is>
          <t/>
        </is>
      </c>
      <c r="AZ91" s="60" t="inlineStr">
        <is>
          <t/>
        </is>
      </c>
      <c r="BA91" s="61" t="inlineStr">
        <is>
          <t/>
        </is>
      </c>
      <c r="BB91" s="62" t="inlineStr">
        <is>
          <t>Kima Ventures (www.kimaventures.com), Otium (www.otium.fr)</t>
        </is>
      </c>
      <c r="BC91" s="63" t="inlineStr">
        <is>
          <t/>
        </is>
      </c>
      <c r="BD91" s="64" t="inlineStr">
        <is>
          <t/>
        </is>
      </c>
      <c r="BE91" s="65" t="inlineStr">
        <is>
          <t/>
        </is>
      </c>
      <c r="BF91" s="66" t="inlineStr">
        <is>
          <t/>
        </is>
      </c>
      <c r="BG91" s="67" t="n">
        <v>43026.0</v>
      </c>
      <c r="BH91" s="68" t="n">
        <v>2.0</v>
      </c>
      <c r="BI91" s="69" t="inlineStr">
        <is>
          <t>Actual</t>
        </is>
      </c>
      <c r="BJ91" s="70" t="inlineStr">
        <is>
          <t/>
        </is>
      </c>
      <c r="BK91" s="71" t="inlineStr">
        <is>
          <t/>
        </is>
      </c>
      <c r="BL91" s="72" t="inlineStr">
        <is>
          <t>Seed Round</t>
        </is>
      </c>
      <c r="BM91" s="73" t="inlineStr">
        <is>
          <t>Seed</t>
        </is>
      </c>
      <c r="BN91" s="74" t="inlineStr">
        <is>
          <t/>
        </is>
      </c>
      <c r="BO91" s="75" t="inlineStr">
        <is>
          <t>Venture Capital</t>
        </is>
      </c>
      <c r="BP91" s="76" t="inlineStr">
        <is>
          <t/>
        </is>
      </c>
      <c r="BQ91" s="77" t="inlineStr">
        <is>
          <t/>
        </is>
      </c>
      <c r="BR91" s="78" t="inlineStr">
        <is>
          <t/>
        </is>
      </c>
      <c r="BS91" s="79" t="inlineStr">
        <is>
          <t>Completed</t>
        </is>
      </c>
      <c r="BT91" s="80" t="n">
        <v>43026.0</v>
      </c>
      <c r="BU91" s="81" t="n">
        <v>2.0</v>
      </c>
      <c r="BV91" s="82" t="inlineStr">
        <is>
          <t>Actual</t>
        </is>
      </c>
      <c r="BW91" s="83" t="inlineStr">
        <is>
          <t/>
        </is>
      </c>
      <c r="BX91" s="84" t="inlineStr">
        <is>
          <t/>
        </is>
      </c>
      <c r="BY91" s="85" t="inlineStr">
        <is>
          <t>Seed Round</t>
        </is>
      </c>
      <c r="BZ91" s="86" t="inlineStr">
        <is>
          <t>Seed</t>
        </is>
      </c>
      <c r="CA91" s="87" t="inlineStr">
        <is>
          <t/>
        </is>
      </c>
      <c r="CB91" s="88" t="inlineStr">
        <is>
          <t>Venture Capital</t>
        </is>
      </c>
      <c r="CC91" s="89" t="inlineStr">
        <is>
          <t/>
        </is>
      </c>
      <c r="CD91" s="90" t="inlineStr">
        <is>
          <t/>
        </is>
      </c>
      <c r="CE91" s="91" t="inlineStr">
        <is>
          <t/>
        </is>
      </c>
      <c r="CF91" s="92" t="inlineStr">
        <is>
          <t>Completed</t>
        </is>
      </c>
      <c r="CG91" s="93" t="inlineStr">
        <is>
          <t>2,20%</t>
        </is>
      </c>
      <c r="CH91" s="94" t="inlineStr">
        <is>
          <t>98</t>
        </is>
      </c>
      <c r="CI91" s="95" t="inlineStr">
        <is>
          <t/>
        </is>
      </c>
      <c r="CJ91" s="96" t="inlineStr">
        <is>
          <t/>
        </is>
      </c>
      <c r="CK91" s="97" t="inlineStr">
        <is>
          <t/>
        </is>
      </c>
      <c r="CL91" s="98" t="inlineStr">
        <is>
          <t/>
        </is>
      </c>
      <c r="CM91" s="99" t="inlineStr">
        <is>
          <t>2,20%</t>
        </is>
      </c>
      <c r="CN91" s="100" t="inlineStr">
        <is>
          <t>99</t>
        </is>
      </c>
      <c r="CO91" s="101" t="inlineStr">
        <is>
          <t/>
        </is>
      </c>
      <c r="CP91" s="102" t="inlineStr">
        <is>
          <t/>
        </is>
      </c>
      <c r="CQ91" s="103" t="inlineStr">
        <is>
          <t/>
        </is>
      </c>
      <c r="CR91" s="104" t="inlineStr">
        <is>
          <t/>
        </is>
      </c>
      <c r="CS91" s="105" t="inlineStr">
        <is>
          <t>2,25%</t>
        </is>
      </c>
      <c r="CT91" s="106" t="inlineStr">
        <is>
          <t>98</t>
        </is>
      </c>
      <c r="CU91" s="107" t="inlineStr">
        <is>
          <t>2,15%</t>
        </is>
      </c>
      <c r="CV91" s="108" t="inlineStr">
        <is>
          <t>99</t>
        </is>
      </c>
      <c r="CW91" s="109" t="inlineStr">
        <is>
          <t>1,66x</t>
        </is>
      </c>
      <c r="CX91" s="110" t="inlineStr">
        <is>
          <t>61</t>
        </is>
      </c>
      <c r="CY91" s="111" t="inlineStr">
        <is>
          <t/>
        </is>
      </c>
      <c r="CZ91" s="112" t="inlineStr">
        <is>
          <t/>
        </is>
      </c>
      <c r="DA91" s="113" t="inlineStr">
        <is>
          <t/>
        </is>
      </c>
      <c r="DB91" s="114" t="inlineStr">
        <is>
          <t/>
        </is>
      </c>
      <c r="DC91" s="115" t="inlineStr">
        <is>
          <t>1,66x</t>
        </is>
      </c>
      <c r="DD91" s="116" t="inlineStr">
        <is>
          <t>58</t>
        </is>
      </c>
      <c r="DE91" s="117" t="inlineStr">
        <is>
          <t/>
        </is>
      </c>
      <c r="DF91" s="118" t="inlineStr">
        <is>
          <t/>
        </is>
      </c>
      <c r="DG91" s="119" t="inlineStr">
        <is>
          <t/>
        </is>
      </c>
      <c r="DH91" s="120" t="inlineStr">
        <is>
          <t/>
        </is>
      </c>
      <c r="DI91" s="121" t="inlineStr">
        <is>
          <t>2,06x</t>
        </is>
      </c>
      <c r="DJ91" s="122" t="inlineStr">
        <is>
          <t>62</t>
        </is>
      </c>
      <c r="DK91" s="123" t="inlineStr">
        <is>
          <t>1,27x</t>
        </is>
      </c>
      <c r="DL91" s="124" t="inlineStr">
        <is>
          <t>55</t>
        </is>
      </c>
      <c r="DM91" s="125" t="inlineStr">
        <is>
          <t/>
        </is>
      </c>
      <c r="DN91" s="126" t="inlineStr">
        <is>
          <t/>
        </is>
      </c>
      <c r="DO91" s="127" t="inlineStr">
        <is>
          <t/>
        </is>
      </c>
      <c r="DP91" s="128" t="inlineStr">
        <is>
          <t>1.621</t>
        </is>
      </c>
      <c r="DQ91" s="129" t="inlineStr">
        <is>
          <t>8</t>
        </is>
      </c>
      <c r="DR91" s="130" t="inlineStr">
        <is>
          <t>0,50%</t>
        </is>
      </c>
      <c r="DS91" s="131" t="inlineStr">
        <is>
          <t>26</t>
        </is>
      </c>
      <c r="DT91" s="132" t="inlineStr">
        <is>
          <t>3</t>
        </is>
      </c>
      <c r="DU91" s="133" t="inlineStr">
        <is>
          <t>13,04%</t>
        </is>
      </c>
      <c r="DV91" s="134" t="inlineStr">
        <is>
          <t>467</t>
        </is>
      </c>
      <c r="DW91" s="135" t="inlineStr">
        <is>
          <t>9</t>
        </is>
      </c>
      <c r="DX91" s="136" t="inlineStr">
        <is>
          <t>1,97%</t>
        </is>
      </c>
      <c r="DY91" s="137" t="inlineStr">
        <is>
          <t>PitchBook Research</t>
        </is>
      </c>
      <c r="DZ91" s="785">
        <f>HYPERLINK("https://my.pitchbook.com?c=221515-39", "View company online")</f>
      </c>
    </row>
    <row r="92">
      <c r="A92" s="139" t="inlineStr">
        <is>
          <t>222216-67</t>
        </is>
      </c>
      <c r="B92" s="140" t="inlineStr">
        <is>
          <t>Displate</t>
        </is>
      </c>
      <c r="C92" s="141" t="inlineStr">
        <is>
          <t/>
        </is>
      </c>
      <c r="D92" s="142" t="inlineStr">
        <is>
          <t/>
        </is>
      </c>
      <c r="E92" s="143" t="inlineStr">
        <is>
          <t>222216-67</t>
        </is>
      </c>
      <c r="F92" s="144" t="inlineStr">
        <is>
          <t>Provider and manufacturer of posters made out of metal created to reimagine art. The company manufactures metal posters and operates a platform gathering talented artists from all over the world. It sells posters printed on metal themes, including video games, vintage designs, and even "multi-plate" products that can cover whole walls, enabling art lovers to get graphics on their wall from their preferred choices.</t>
        </is>
      </c>
      <c r="G92" s="145" t="inlineStr">
        <is>
          <t>Consumer Products and Services (B2C)</t>
        </is>
      </c>
      <c r="H92" s="146" t="inlineStr">
        <is>
          <t>Consumer Durables</t>
        </is>
      </c>
      <c r="I92" s="147" t="inlineStr">
        <is>
          <t>Home Furnishings</t>
        </is>
      </c>
      <c r="J92" s="148" t="inlineStr">
        <is>
          <t>Home Furnishings*</t>
        </is>
      </c>
      <c r="K92" s="149" t="inlineStr">
        <is>
          <t>Manufacturing</t>
        </is>
      </c>
      <c r="L92" s="150" t="inlineStr">
        <is>
          <t>Venture Capital-Backed</t>
        </is>
      </c>
      <c r="M92" s="151" t="n">
        <v>2.0</v>
      </c>
      <c r="N92" s="152" t="inlineStr">
        <is>
          <t>Generating Revenue</t>
        </is>
      </c>
      <c r="O92" s="153" t="inlineStr">
        <is>
          <t>Privately Held (backing)</t>
        </is>
      </c>
      <c r="P92" s="154" t="inlineStr">
        <is>
          <t>Venture Capital</t>
        </is>
      </c>
      <c r="Q92" s="155" t="inlineStr">
        <is>
          <t>displate.com</t>
        </is>
      </c>
      <c r="R92" s="156" t="inlineStr">
        <is>
          <t/>
        </is>
      </c>
      <c r="S92" s="157" t="inlineStr">
        <is>
          <t/>
        </is>
      </c>
      <c r="T92" s="158" t="inlineStr">
        <is>
          <t/>
        </is>
      </c>
      <c r="U92" s="159" t="n">
        <v>2013.0</v>
      </c>
      <c r="V92" s="160" t="inlineStr">
        <is>
          <t/>
        </is>
      </c>
      <c r="W92" s="161" t="inlineStr">
        <is>
          <t/>
        </is>
      </c>
      <c r="X92" s="162" t="inlineStr">
        <is>
          <t/>
        </is>
      </c>
      <c r="Y92" s="163" t="inlineStr">
        <is>
          <t/>
        </is>
      </c>
      <c r="Z92" s="164" t="inlineStr">
        <is>
          <t/>
        </is>
      </c>
      <c r="AA92" s="165" t="inlineStr">
        <is>
          <t/>
        </is>
      </c>
      <c r="AB92" s="166" t="inlineStr">
        <is>
          <t/>
        </is>
      </c>
      <c r="AC92" s="167" t="inlineStr">
        <is>
          <t/>
        </is>
      </c>
      <c r="AD92" s="168" t="inlineStr">
        <is>
          <t/>
        </is>
      </c>
      <c r="AE92" s="169" t="inlineStr">
        <is>
          <t>174424-06P</t>
        </is>
      </c>
      <c r="AF92" s="170" t="inlineStr">
        <is>
          <t>Karol Banaszkiewicz</t>
        </is>
      </c>
      <c r="AG92" s="171" t="inlineStr">
        <is>
          <t>Co-Founder</t>
        </is>
      </c>
      <c r="AH92" s="172" t="inlineStr">
        <is>
          <t>karol@displate.com</t>
        </is>
      </c>
      <c r="AI92" s="173" t="inlineStr">
        <is>
          <t/>
        </is>
      </c>
      <c r="AJ92" s="174" t="inlineStr">
        <is>
          <t>Marki, Poland</t>
        </is>
      </c>
      <c r="AK92" s="175" t="inlineStr">
        <is>
          <t>Ul. Bandurskiego 94</t>
        </is>
      </c>
      <c r="AL92" s="176" t="inlineStr">
        <is>
          <t/>
        </is>
      </c>
      <c r="AM92" s="177" t="inlineStr">
        <is>
          <t>Marki</t>
        </is>
      </c>
      <c r="AN92" s="178" t="inlineStr">
        <is>
          <t/>
        </is>
      </c>
      <c r="AO92" s="179" t="inlineStr">
        <is>
          <t>05-270</t>
        </is>
      </c>
      <c r="AP92" s="180" t="inlineStr">
        <is>
          <t>Poland</t>
        </is>
      </c>
      <c r="AQ92" s="181" t="inlineStr">
        <is>
          <t/>
        </is>
      </c>
      <c r="AR92" s="182" t="inlineStr">
        <is>
          <t/>
        </is>
      </c>
      <c r="AS92" s="183" t="inlineStr">
        <is>
          <t/>
        </is>
      </c>
      <c r="AT92" s="184" t="inlineStr">
        <is>
          <t>Europe</t>
        </is>
      </c>
      <c r="AU92" s="185" t="inlineStr">
        <is>
          <t>Eastern Europe</t>
        </is>
      </c>
      <c r="AV92" s="186" t="inlineStr">
        <is>
          <t>The company raised EUR 2 million of venture funding from Credo Ventures on November 14, 2017. The funds will be used to expand the business and build some truly custom customer solutions.</t>
        </is>
      </c>
      <c r="AW92" s="187" t="inlineStr">
        <is>
          <t>Credo Ventures</t>
        </is>
      </c>
      <c r="AX92" s="188" t="n">
        <v>1.0</v>
      </c>
      <c r="AY92" s="189" t="inlineStr">
        <is>
          <t/>
        </is>
      </c>
      <c r="AZ92" s="190" t="inlineStr">
        <is>
          <t/>
        </is>
      </c>
      <c r="BA92" s="191" t="inlineStr">
        <is>
          <t/>
        </is>
      </c>
      <c r="BB92" s="192" t="inlineStr">
        <is>
          <t>Credo Ventures (www.credoventures.com)</t>
        </is>
      </c>
      <c r="BC92" s="193" t="inlineStr">
        <is>
          <t/>
        </is>
      </c>
      <c r="BD92" s="194" t="inlineStr">
        <is>
          <t/>
        </is>
      </c>
      <c r="BE92" s="195" t="inlineStr">
        <is>
          <t/>
        </is>
      </c>
      <c r="BF92" s="196" t="inlineStr">
        <is>
          <t/>
        </is>
      </c>
      <c r="BG92" s="197" t="n">
        <v>43053.0</v>
      </c>
      <c r="BH92" s="198" t="n">
        <v>2.0</v>
      </c>
      <c r="BI92" s="199" t="inlineStr">
        <is>
          <t>Actual</t>
        </is>
      </c>
      <c r="BJ92" s="200" t="inlineStr">
        <is>
          <t/>
        </is>
      </c>
      <c r="BK92" s="201" t="inlineStr">
        <is>
          <t/>
        </is>
      </c>
      <c r="BL92" s="202" t="inlineStr">
        <is>
          <t>Early Stage VC</t>
        </is>
      </c>
      <c r="BM92" s="203" t="inlineStr">
        <is>
          <t/>
        </is>
      </c>
      <c r="BN92" s="204" t="inlineStr">
        <is>
          <t/>
        </is>
      </c>
      <c r="BO92" s="205" t="inlineStr">
        <is>
          <t>Venture Capital</t>
        </is>
      </c>
      <c r="BP92" s="206" t="inlineStr">
        <is>
          <t/>
        </is>
      </c>
      <c r="BQ92" s="207" t="inlineStr">
        <is>
          <t/>
        </is>
      </c>
      <c r="BR92" s="208" t="inlineStr">
        <is>
          <t/>
        </is>
      </c>
      <c r="BS92" s="209" t="inlineStr">
        <is>
          <t>Completed</t>
        </is>
      </c>
      <c r="BT92" s="210" t="n">
        <v>43053.0</v>
      </c>
      <c r="BU92" s="211" t="n">
        <v>2.0</v>
      </c>
      <c r="BV92" s="212" t="inlineStr">
        <is>
          <t>Actual</t>
        </is>
      </c>
      <c r="BW92" s="213" t="inlineStr">
        <is>
          <t/>
        </is>
      </c>
      <c r="BX92" s="214" t="inlineStr">
        <is>
          <t/>
        </is>
      </c>
      <c r="BY92" s="215" t="inlineStr">
        <is>
          <t>Early Stage VC</t>
        </is>
      </c>
      <c r="BZ92" s="216" t="inlineStr">
        <is>
          <t/>
        </is>
      </c>
      <c r="CA92" s="217" t="inlineStr">
        <is>
          <t/>
        </is>
      </c>
      <c r="CB92" s="218" t="inlineStr">
        <is>
          <t>Venture Capital</t>
        </is>
      </c>
      <c r="CC92" s="219" t="inlineStr">
        <is>
          <t/>
        </is>
      </c>
      <c r="CD92" s="220" t="inlineStr">
        <is>
          <t/>
        </is>
      </c>
      <c r="CE92" s="221" t="inlineStr">
        <is>
          <t/>
        </is>
      </c>
      <c r="CF92" s="222" t="inlineStr">
        <is>
          <t>Completed</t>
        </is>
      </c>
      <c r="CG92" s="223" t="inlineStr">
        <is>
          <t>-4,42%</t>
        </is>
      </c>
      <c r="CH92" s="224" t="inlineStr">
        <is>
          <t>4</t>
        </is>
      </c>
      <c r="CI92" s="225" t="inlineStr">
        <is>
          <t>-0,03%</t>
        </is>
      </c>
      <c r="CJ92" s="226" t="inlineStr">
        <is>
          <t>-0,59%</t>
        </is>
      </c>
      <c r="CK92" s="227" t="inlineStr">
        <is>
          <t>-9,43%</t>
        </is>
      </c>
      <c r="CL92" s="228" t="inlineStr">
        <is>
          <t>4</t>
        </is>
      </c>
      <c r="CM92" s="229" t="inlineStr">
        <is>
          <t>0,59%</t>
        </is>
      </c>
      <c r="CN92" s="230" t="inlineStr">
        <is>
          <t>91</t>
        </is>
      </c>
      <c r="CO92" s="231" t="inlineStr">
        <is>
          <t>-18,87%</t>
        </is>
      </c>
      <c r="CP92" s="232" t="inlineStr">
        <is>
          <t>6</t>
        </is>
      </c>
      <c r="CQ92" s="233" t="inlineStr">
        <is>
          <t>0,00%</t>
        </is>
      </c>
      <c r="CR92" s="234" t="inlineStr">
        <is>
          <t>20</t>
        </is>
      </c>
      <c r="CS92" s="235" t="inlineStr">
        <is>
          <t>0,99%</t>
        </is>
      </c>
      <c r="CT92" s="236" t="inlineStr">
        <is>
          <t>94</t>
        </is>
      </c>
      <c r="CU92" s="237" t="inlineStr">
        <is>
          <t>0,18%</t>
        </is>
      </c>
      <c r="CV92" s="238" t="inlineStr">
        <is>
          <t>75</t>
        </is>
      </c>
      <c r="CW92" s="239" t="inlineStr">
        <is>
          <t>266,25x</t>
        </is>
      </c>
      <c r="CX92" s="240" t="inlineStr">
        <is>
          <t>99</t>
        </is>
      </c>
      <c r="CY92" s="241" t="inlineStr">
        <is>
          <t>-0,83x</t>
        </is>
      </c>
      <c r="CZ92" s="242" t="inlineStr">
        <is>
          <t>-0,31%</t>
        </is>
      </c>
      <c r="DA92" s="243" t="inlineStr">
        <is>
          <t>76,75x</t>
        </is>
      </c>
      <c r="DB92" s="244" t="inlineStr">
        <is>
          <t>98</t>
        </is>
      </c>
      <c r="DC92" s="245" t="inlineStr">
        <is>
          <t>455,75x</t>
        </is>
      </c>
      <c r="DD92" s="246" t="inlineStr">
        <is>
          <t>99</t>
        </is>
      </c>
      <c r="DE92" s="247" t="inlineStr">
        <is>
          <t>151,30x</t>
        </is>
      </c>
      <c r="DF92" s="248" t="inlineStr">
        <is>
          <t>99</t>
        </is>
      </c>
      <c r="DG92" s="249" t="inlineStr">
        <is>
          <t>2,19x</t>
        </is>
      </c>
      <c r="DH92" s="250" t="inlineStr">
        <is>
          <t>66</t>
        </is>
      </c>
      <c r="DI92" s="251" t="inlineStr">
        <is>
          <t>897,09x</t>
        </is>
      </c>
      <c r="DJ92" s="252" t="inlineStr">
        <is>
          <t>99</t>
        </is>
      </c>
      <c r="DK92" s="253" t="inlineStr">
        <is>
          <t>14,41x</t>
        </is>
      </c>
      <c r="DL92" s="254" t="inlineStr">
        <is>
          <t>90</t>
        </is>
      </c>
      <c r="DM92" s="255" t="inlineStr">
        <is>
          <t>56.359</t>
        </is>
      </c>
      <c r="DN92" s="256" t="inlineStr">
        <is>
          <t>-1.137</t>
        </is>
      </c>
      <c r="DO92" s="257" t="inlineStr">
        <is>
          <t>-1,98%</t>
        </is>
      </c>
      <c r="DP92" s="258" t="inlineStr">
        <is>
          <t>709.539</t>
        </is>
      </c>
      <c r="DQ92" s="259" t="inlineStr">
        <is>
          <t>4.327</t>
        </is>
      </c>
      <c r="DR92" s="260" t="inlineStr">
        <is>
          <t>0,61%</t>
        </is>
      </c>
      <c r="DS92" s="261" t="inlineStr">
        <is>
          <t>77</t>
        </is>
      </c>
      <c r="DT92" s="262" t="inlineStr">
        <is>
          <t>2</t>
        </is>
      </c>
      <c r="DU92" s="263" t="inlineStr">
        <is>
          <t>2,67%</t>
        </is>
      </c>
      <c r="DV92" s="264" t="inlineStr">
        <is>
          <t>5.386</t>
        </is>
      </c>
      <c r="DW92" s="265" t="inlineStr">
        <is>
          <t>10</t>
        </is>
      </c>
      <c r="DX92" s="266" t="inlineStr">
        <is>
          <t>0,19%</t>
        </is>
      </c>
      <c r="DY92" s="267" t="inlineStr">
        <is>
          <t>PitchBook Research</t>
        </is>
      </c>
      <c r="DZ92" s="786">
        <f>HYPERLINK("https://my.pitchbook.com?c=222216-67", "View company online")</f>
      </c>
    </row>
    <row r="93">
      <c r="A93" s="9" t="inlineStr">
        <is>
          <t>222353-38</t>
        </is>
      </c>
      <c r="B93" s="10" t="inlineStr">
        <is>
          <t>TeleClinic</t>
        </is>
      </c>
      <c r="C93" s="11" t="inlineStr">
        <is>
          <t/>
        </is>
      </c>
      <c r="D93" s="12" t="inlineStr">
        <is>
          <t/>
        </is>
      </c>
      <c r="E93" s="13" t="inlineStr">
        <is>
          <t>222353-38</t>
        </is>
      </c>
      <c r="F93" s="14" t="inlineStr">
        <is>
          <t>Developer of a medical diagnoses and prescriptions platform designed to offer medical long-distance treatment. The company's platform provides advises from general practitioners and specialist medical specialists who make and receive diagnoses via the Internet, especially with a video lecture without the need for physical contact with the patient beforehand, enabling people to get health or medical advice for general health issues, obtaining a second medical opinion or asking questions about therapies and medicines.</t>
        </is>
      </c>
      <c r="G93" s="15" t="inlineStr">
        <is>
          <t>Information Technology</t>
        </is>
      </c>
      <c r="H93" s="16" t="inlineStr">
        <is>
          <t>Software</t>
        </is>
      </c>
      <c r="I93" s="17" t="inlineStr">
        <is>
          <t>Social/Platform Software</t>
        </is>
      </c>
      <c r="J93" s="18" t="inlineStr">
        <is>
          <t>Social/Platform Software*; Other Healthcare Services; Other Healthcare Technology Systems</t>
        </is>
      </c>
      <c r="K93" s="19" t="inlineStr">
        <is>
          <t>HealthTech, LOHAS &amp; Wellness, Mobile</t>
        </is>
      </c>
      <c r="L93" s="20" t="inlineStr">
        <is>
          <t>Venture Capital-Backed</t>
        </is>
      </c>
      <c r="M93" s="21" t="n">
        <v>2.0</v>
      </c>
      <c r="N93" s="22" t="inlineStr">
        <is>
          <t>Generating Revenue</t>
        </is>
      </c>
      <c r="O93" s="23" t="inlineStr">
        <is>
          <t>Privately Held (backing)</t>
        </is>
      </c>
      <c r="P93" s="24" t="inlineStr">
        <is>
          <t>Venture Capital</t>
        </is>
      </c>
      <c r="Q93" s="25" t="inlineStr">
        <is>
          <t>www.teleclinic.com</t>
        </is>
      </c>
      <c r="R93" s="26" t="n">
        <v>26.0</v>
      </c>
      <c r="S93" s="27" t="inlineStr">
        <is>
          <t/>
        </is>
      </c>
      <c r="T93" s="28" t="inlineStr">
        <is>
          <t/>
        </is>
      </c>
      <c r="U93" s="29" t="n">
        <v>2015.0</v>
      </c>
      <c r="V93" s="30" t="inlineStr">
        <is>
          <t/>
        </is>
      </c>
      <c r="W93" s="31" t="inlineStr">
        <is>
          <t/>
        </is>
      </c>
      <c r="X93" s="32" t="inlineStr">
        <is>
          <t/>
        </is>
      </c>
      <c r="Y93" s="33" t="inlineStr">
        <is>
          <t/>
        </is>
      </c>
      <c r="Z93" s="34" t="inlineStr">
        <is>
          <t/>
        </is>
      </c>
      <c r="AA93" s="35" t="inlineStr">
        <is>
          <t/>
        </is>
      </c>
      <c r="AB93" s="36" t="inlineStr">
        <is>
          <t/>
        </is>
      </c>
      <c r="AC93" s="37" t="inlineStr">
        <is>
          <t/>
        </is>
      </c>
      <c r="AD93" s="38" t="inlineStr">
        <is>
          <t/>
        </is>
      </c>
      <c r="AE93" s="39" t="inlineStr">
        <is>
          <t>174764-08P</t>
        </is>
      </c>
      <c r="AF93" s="40" t="inlineStr">
        <is>
          <t>Katharina Jünger</t>
        </is>
      </c>
      <c r="AG93" s="41" t="inlineStr">
        <is>
          <t>Chief Executive Officer &amp; Co-Founder</t>
        </is>
      </c>
      <c r="AH93" s="42" t="inlineStr">
        <is>
          <t>katharina.junger@teleclinic.com</t>
        </is>
      </c>
      <c r="AI93" s="43" t="inlineStr">
        <is>
          <t>+49 (0)89 1208 9811 2</t>
        </is>
      </c>
      <c r="AJ93" s="44" t="inlineStr">
        <is>
          <t>Munich, Germany</t>
        </is>
      </c>
      <c r="AK93" s="45" t="inlineStr">
        <is>
          <t>Schwanthalerstraße 100</t>
        </is>
      </c>
      <c r="AL93" s="46" t="inlineStr">
        <is>
          <t/>
        </is>
      </c>
      <c r="AM93" s="47" t="inlineStr">
        <is>
          <t>Munich</t>
        </is>
      </c>
      <c r="AN93" s="48" t="inlineStr">
        <is>
          <t/>
        </is>
      </c>
      <c r="AO93" s="49" t="inlineStr">
        <is>
          <t>80336</t>
        </is>
      </c>
      <c r="AP93" s="50" t="inlineStr">
        <is>
          <t>Germany</t>
        </is>
      </c>
      <c r="AQ93" s="51" t="inlineStr">
        <is>
          <t>+49 (0)89 1208 9811 2</t>
        </is>
      </c>
      <c r="AR93" s="52" t="inlineStr">
        <is>
          <t/>
        </is>
      </c>
      <c r="AS93" s="53" t="inlineStr">
        <is>
          <t>info@teleclinic.com</t>
        </is>
      </c>
      <c r="AT93" s="54" t="inlineStr">
        <is>
          <t>Europe</t>
        </is>
      </c>
      <c r="AU93" s="55" t="inlineStr">
        <is>
          <t>Western Europe</t>
        </is>
      </c>
      <c r="AV93" s="56" t="inlineStr">
        <is>
          <t>The company raised EUR 2 million of seed funding in a deal led by Digital Health Ventures on November 18, 2017. Other undisclosed investors also participated in the round. The funding will be used to expand its telemedicine infrastructure.</t>
        </is>
      </c>
      <c r="AW93" s="57" t="inlineStr">
        <is>
          <t>Alexander Brehm, Alexander Graf Fugger-Babenhausen, Alexander Stärker, Anselm Bauer, Digital Health Ventures, Exist Federal Ministry of Economics and Energy, Max-Josef Meier, Michael Brehm, Sebastian Schuon, Stefan Wiskemann, Urs Keller</t>
        </is>
      </c>
      <c r="AX93" s="58" t="n">
        <v>11.0</v>
      </c>
      <c r="AY93" s="59" t="inlineStr">
        <is>
          <t/>
        </is>
      </c>
      <c r="AZ93" s="60" t="inlineStr">
        <is>
          <t/>
        </is>
      </c>
      <c r="BA93" s="61" t="inlineStr">
        <is>
          <t/>
        </is>
      </c>
      <c r="BB93" s="62" t="inlineStr">
        <is>
          <t>Digital Health Ventures (www.dhventures.de), Exist Federal Ministry of Economics and Energy (www.exist.de)</t>
        </is>
      </c>
      <c r="BC93" s="63" t="inlineStr">
        <is>
          <t/>
        </is>
      </c>
      <c r="BD93" s="64" t="inlineStr">
        <is>
          <t/>
        </is>
      </c>
      <c r="BE93" s="65" t="inlineStr">
        <is>
          <t/>
        </is>
      </c>
      <c r="BF93" s="66" t="inlineStr">
        <is>
          <t/>
        </is>
      </c>
      <c r="BG93" s="67" t="inlineStr">
        <is>
          <t/>
        </is>
      </c>
      <c r="BH93" s="68" t="n">
        <v>0.6</v>
      </c>
      <c r="BI93" s="69" t="inlineStr">
        <is>
          <t>Actual</t>
        </is>
      </c>
      <c r="BJ93" s="70" t="inlineStr">
        <is>
          <t/>
        </is>
      </c>
      <c r="BK93" s="71" t="inlineStr">
        <is>
          <t/>
        </is>
      </c>
      <c r="BL93" s="72" t="inlineStr">
        <is>
          <t>Angel (individual)</t>
        </is>
      </c>
      <c r="BM93" s="73" t="inlineStr">
        <is>
          <t>Angel</t>
        </is>
      </c>
      <c r="BN93" s="74" t="inlineStr">
        <is>
          <t/>
        </is>
      </c>
      <c r="BO93" s="75" t="inlineStr">
        <is>
          <t>Individual</t>
        </is>
      </c>
      <c r="BP93" s="76" t="inlineStr">
        <is>
          <t/>
        </is>
      </c>
      <c r="BQ93" s="77" t="inlineStr">
        <is>
          <t/>
        </is>
      </c>
      <c r="BR93" s="78" t="inlineStr">
        <is>
          <t/>
        </is>
      </c>
      <c r="BS93" s="79" t="inlineStr">
        <is>
          <t>Completed</t>
        </is>
      </c>
      <c r="BT93" s="80" t="n">
        <v>43057.0</v>
      </c>
      <c r="BU93" s="81" t="n">
        <v>2.0</v>
      </c>
      <c r="BV93" s="82" t="inlineStr">
        <is>
          <t>Actual</t>
        </is>
      </c>
      <c r="BW93" s="83" t="inlineStr">
        <is>
          <t/>
        </is>
      </c>
      <c r="BX93" s="84" t="inlineStr">
        <is>
          <t/>
        </is>
      </c>
      <c r="BY93" s="85" t="inlineStr">
        <is>
          <t>Seed Round</t>
        </is>
      </c>
      <c r="BZ93" s="86" t="inlineStr">
        <is>
          <t>Seed</t>
        </is>
      </c>
      <c r="CA93" s="87" t="inlineStr">
        <is>
          <t/>
        </is>
      </c>
      <c r="CB93" s="88" t="inlineStr">
        <is>
          <t>Venture Capital</t>
        </is>
      </c>
      <c r="CC93" s="89" t="inlineStr">
        <is>
          <t/>
        </is>
      </c>
      <c r="CD93" s="90" t="inlineStr">
        <is>
          <t/>
        </is>
      </c>
      <c r="CE93" s="91" t="inlineStr">
        <is>
          <t/>
        </is>
      </c>
      <c r="CF93" s="92" t="inlineStr">
        <is>
          <t>Completed</t>
        </is>
      </c>
      <c r="CG93" s="93" t="inlineStr">
        <is>
          <t/>
        </is>
      </c>
      <c r="CH93" s="94" t="inlineStr">
        <is>
          <t/>
        </is>
      </c>
      <c r="CI93" s="95" t="inlineStr">
        <is>
          <t/>
        </is>
      </c>
      <c r="CJ93" s="96" t="inlineStr">
        <is>
          <t/>
        </is>
      </c>
      <c r="CK93" s="97" t="inlineStr">
        <is>
          <t/>
        </is>
      </c>
      <c r="CL93" s="98" t="inlineStr">
        <is>
          <t/>
        </is>
      </c>
      <c r="CM93" s="99" t="inlineStr">
        <is>
          <t/>
        </is>
      </c>
      <c r="CN93" s="100" t="inlineStr">
        <is>
          <t/>
        </is>
      </c>
      <c r="CO93" s="101" t="inlineStr">
        <is>
          <t/>
        </is>
      </c>
      <c r="CP93" s="102" t="inlineStr">
        <is>
          <t/>
        </is>
      </c>
      <c r="CQ93" s="103" t="inlineStr">
        <is>
          <t/>
        </is>
      </c>
      <c r="CR93" s="104" t="inlineStr">
        <is>
          <t/>
        </is>
      </c>
      <c r="CS93" s="105" t="inlineStr">
        <is>
          <t/>
        </is>
      </c>
      <c r="CT93" s="106" t="inlineStr">
        <is>
          <t/>
        </is>
      </c>
      <c r="CU93" s="107" t="inlineStr">
        <is>
          <t/>
        </is>
      </c>
      <c r="CV93" s="108" t="inlineStr">
        <is>
          <t/>
        </is>
      </c>
      <c r="CW93" s="109" t="inlineStr">
        <is>
          <t/>
        </is>
      </c>
      <c r="CX93" s="110" t="inlineStr">
        <is>
          <t/>
        </is>
      </c>
      <c r="CY93" s="111" t="inlineStr">
        <is>
          <t/>
        </is>
      </c>
      <c r="CZ93" s="112" t="inlineStr">
        <is>
          <t/>
        </is>
      </c>
      <c r="DA93" s="113" t="inlineStr">
        <is>
          <t/>
        </is>
      </c>
      <c r="DB93" s="114" t="inlineStr">
        <is>
          <t/>
        </is>
      </c>
      <c r="DC93" s="115" t="inlineStr">
        <is>
          <t/>
        </is>
      </c>
      <c r="DD93" s="116" t="inlineStr">
        <is>
          <t/>
        </is>
      </c>
      <c r="DE93" s="117" t="inlineStr">
        <is>
          <t/>
        </is>
      </c>
      <c r="DF93" s="118" t="inlineStr">
        <is>
          <t/>
        </is>
      </c>
      <c r="DG93" s="119" t="inlineStr">
        <is>
          <t/>
        </is>
      </c>
      <c r="DH93" s="120" t="inlineStr">
        <is>
          <t/>
        </is>
      </c>
      <c r="DI93" s="121" t="inlineStr">
        <is>
          <t/>
        </is>
      </c>
      <c r="DJ93" s="122" t="inlineStr">
        <is>
          <t/>
        </is>
      </c>
      <c r="DK93" s="123" t="inlineStr">
        <is>
          <t/>
        </is>
      </c>
      <c r="DL93" s="124" t="inlineStr">
        <is>
          <t/>
        </is>
      </c>
      <c r="DM93" s="125" t="inlineStr">
        <is>
          <t/>
        </is>
      </c>
      <c r="DN93" s="126" t="inlineStr">
        <is>
          <t/>
        </is>
      </c>
      <c r="DO93" s="127" t="inlineStr">
        <is>
          <t/>
        </is>
      </c>
      <c r="DP93" s="128" t="inlineStr">
        <is>
          <t/>
        </is>
      </c>
      <c r="DQ93" s="129" t="inlineStr">
        <is>
          <t/>
        </is>
      </c>
      <c r="DR93" s="130" t="inlineStr">
        <is>
          <t/>
        </is>
      </c>
      <c r="DS93" s="131" t="inlineStr">
        <is>
          <t/>
        </is>
      </c>
      <c r="DT93" s="132" t="inlineStr">
        <is>
          <t/>
        </is>
      </c>
      <c r="DU93" s="133" t="inlineStr">
        <is>
          <t/>
        </is>
      </c>
      <c r="DV93" s="134" t="inlineStr">
        <is>
          <t/>
        </is>
      </c>
      <c r="DW93" s="135" t="inlineStr">
        <is>
          <t/>
        </is>
      </c>
      <c r="DX93" s="136" t="inlineStr">
        <is>
          <t/>
        </is>
      </c>
      <c r="DY93" s="137" t="inlineStr">
        <is>
          <t>PitchBook Research</t>
        </is>
      </c>
      <c r="DZ93" s="785">
        <f>HYPERLINK("https://my.pitchbook.com?c=222353-38", "View company online")</f>
      </c>
    </row>
    <row r="94">
      <c r="A94" s="139" t="inlineStr">
        <is>
          <t>222622-21</t>
        </is>
      </c>
      <c r="B94" s="140" t="inlineStr">
        <is>
          <t>Ikbenfrits</t>
        </is>
      </c>
      <c r="C94" s="141" t="inlineStr">
        <is>
          <t/>
        </is>
      </c>
      <c r="D94" s="142" t="inlineStr">
        <is>
          <t/>
        </is>
      </c>
      <c r="E94" s="143" t="inlineStr">
        <is>
          <t>222622-21</t>
        </is>
      </c>
      <c r="F94" s="144" t="inlineStr">
        <is>
          <t>Developer of a digital mortgage platform designed to offer mortgage advice online. The company's platform provides personalized service with automation for mundane tasks such as document submission and checking, finding and getting the deal accepted instantly and streamlined helpdesk, enabling users to get residential mortgage broking service with a focus on the Dutch market.</t>
        </is>
      </c>
      <c r="G94" s="145" t="inlineStr">
        <is>
          <t>Information Technology</t>
        </is>
      </c>
      <c r="H94" s="146" t="inlineStr">
        <is>
          <t>Software</t>
        </is>
      </c>
      <c r="I94" s="147" t="inlineStr">
        <is>
          <t>Financial Software</t>
        </is>
      </c>
      <c r="J94" s="148" t="inlineStr">
        <is>
          <t>Financial Software*; Other Financial Services</t>
        </is>
      </c>
      <c r="K94" s="149" t="inlineStr">
        <is>
          <t>FinTech</t>
        </is>
      </c>
      <c r="L94" s="150" t="inlineStr">
        <is>
          <t>Venture Capital-Backed</t>
        </is>
      </c>
      <c r="M94" s="151" t="n">
        <v>2.0</v>
      </c>
      <c r="N94" s="152" t="inlineStr">
        <is>
          <t>Generating Revenue</t>
        </is>
      </c>
      <c r="O94" s="153" t="inlineStr">
        <is>
          <t>Privately Held (backing)</t>
        </is>
      </c>
      <c r="P94" s="154" t="inlineStr">
        <is>
          <t>Venture Capital</t>
        </is>
      </c>
      <c r="Q94" s="155" t="inlineStr">
        <is>
          <t>www.ikbenfrits.nl</t>
        </is>
      </c>
      <c r="R94" s="156" t="inlineStr">
        <is>
          <t/>
        </is>
      </c>
      <c r="S94" s="157" t="inlineStr">
        <is>
          <t/>
        </is>
      </c>
      <c r="T94" s="158" t="inlineStr">
        <is>
          <t/>
        </is>
      </c>
      <c r="U94" s="159" t="n">
        <v>2014.0</v>
      </c>
      <c r="V94" s="160" t="inlineStr">
        <is>
          <t/>
        </is>
      </c>
      <c r="W94" s="161" t="inlineStr">
        <is>
          <r>
            <rPr>
              <b/>
              <color rgb="ff26854d"/>
              <rFont val="Arial"/>
              <sz val="8.0"/>
            </rPr>
            <t>New Company</t>
          </r>
        </is>
      </c>
      <c r="X94" s="162" t="inlineStr">
        <is>
          <r>
            <rPr>
              <b/>
              <color rgb="ff26854d"/>
              <rFont val="Arial"/>
              <sz val="8.0"/>
            </rPr>
            <t>New Company</t>
          </r>
        </is>
      </c>
      <c r="Y94" s="163" t="inlineStr">
        <is>
          <t/>
        </is>
      </c>
      <c r="Z94" s="164" t="inlineStr">
        <is>
          <t/>
        </is>
      </c>
      <c r="AA94" s="165" t="inlineStr">
        <is>
          <t/>
        </is>
      </c>
      <c r="AB94" s="166" t="inlineStr">
        <is>
          <t/>
        </is>
      </c>
      <c r="AC94" s="167" t="inlineStr">
        <is>
          <t/>
        </is>
      </c>
      <c r="AD94" s="168" t="inlineStr">
        <is>
          <t/>
        </is>
      </c>
      <c r="AE94" s="169" t="inlineStr">
        <is>
          <t>55619-20P</t>
        </is>
      </c>
      <c r="AF94" s="170" t="inlineStr">
        <is>
          <t>Michiel Lensink</t>
        </is>
      </c>
      <c r="AG94" s="171" t="inlineStr">
        <is>
          <t>Chief Executive Officer &amp; Co-Founder</t>
        </is>
      </c>
      <c r="AH94" s="172" t="inlineStr">
        <is>
          <t>michiel@ikbenfrits.nl</t>
        </is>
      </c>
      <c r="AI94" s="173" t="inlineStr">
        <is>
          <t>+31 (0)20 235 8530</t>
        </is>
      </c>
      <c r="AJ94" s="174" t="inlineStr">
        <is>
          <t>Amsterdam, Netherlands</t>
        </is>
      </c>
      <c r="AK94" s="175" t="inlineStr">
        <is>
          <t>Herengracht 418</t>
        </is>
      </c>
      <c r="AL94" s="176" t="inlineStr">
        <is>
          <t/>
        </is>
      </c>
      <c r="AM94" s="177" t="inlineStr">
        <is>
          <t>Amsterdam</t>
        </is>
      </c>
      <c r="AN94" s="178" t="inlineStr">
        <is>
          <t/>
        </is>
      </c>
      <c r="AO94" s="179" t="inlineStr">
        <is>
          <t>1017 BZ</t>
        </is>
      </c>
      <c r="AP94" s="180" t="inlineStr">
        <is>
          <t>Netherlands</t>
        </is>
      </c>
      <c r="AQ94" s="181" t="inlineStr">
        <is>
          <t>+31 (0)20 235 8530</t>
        </is>
      </c>
      <c r="AR94" s="182" t="inlineStr">
        <is>
          <t/>
        </is>
      </c>
      <c r="AS94" s="183" t="inlineStr">
        <is>
          <t>hallo@ikbenfrits.nl</t>
        </is>
      </c>
      <c r="AT94" s="184" t="inlineStr">
        <is>
          <t>Europe</t>
        </is>
      </c>
      <c r="AU94" s="185" t="inlineStr">
        <is>
          <t>Western Europe</t>
        </is>
      </c>
      <c r="AV94" s="186" t="inlineStr">
        <is>
          <t>The company raised EUR 2 million of Series A venture funding led by Finch Capital on November 29, 2017. The company intends to use the funds for product development and business expansion.</t>
        </is>
      </c>
      <c r="AW94" s="187" t="inlineStr">
        <is>
          <t>Finch Capital</t>
        </is>
      </c>
      <c r="AX94" s="188" t="n">
        <v>1.0</v>
      </c>
      <c r="AY94" s="189" t="inlineStr">
        <is>
          <t/>
        </is>
      </c>
      <c r="AZ94" s="190" t="inlineStr">
        <is>
          <t/>
        </is>
      </c>
      <c r="BA94" s="191" t="inlineStr">
        <is>
          <t/>
        </is>
      </c>
      <c r="BB94" s="192" t="inlineStr">
        <is>
          <t>Finch Capital (www.ogc-partners.com)</t>
        </is>
      </c>
      <c r="BC94" s="193" t="inlineStr">
        <is>
          <t/>
        </is>
      </c>
      <c r="BD94" s="194" t="inlineStr">
        <is>
          <t/>
        </is>
      </c>
      <c r="BE94" s="195" t="inlineStr">
        <is>
          <t/>
        </is>
      </c>
      <c r="BF94" s="196" t="inlineStr">
        <is>
          <t/>
        </is>
      </c>
      <c r="BG94" s="197" t="n">
        <v>43068.0</v>
      </c>
      <c r="BH94" s="198" t="n">
        <v>2.0</v>
      </c>
      <c r="BI94" s="199" t="inlineStr">
        <is>
          <t>Actual</t>
        </is>
      </c>
      <c r="BJ94" s="200" t="inlineStr">
        <is>
          <t/>
        </is>
      </c>
      <c r="BK94" s="201" t="inlineStr">
        <is>
          <t/>
        </is>
      </c>
      <c r="BL94" s="202" t="inlineStr">
        <is>
          <t>Early Stage VC</t>
        </is>
      </c>
      <c r="BM94" s="203" t="inlineStr">
        <is>
          <t>Series A</t>
        </is>
      </c>
      <c r="BN94" s="204" t="inlineStr">
        <is>
          <t/>
        </is>
      </c>
      <c r="BO94" s="205" t="inlineStr">
        <is>
          <t>Venture Capital</t>
        </is>
      </c>
      <c r="BP94" s="206" t="inlineStr">
        <is>
          <t/>
        </is>
      </c>
      <c r="BQ94" s="207" t="inlineStr">
        <is>
          <t/>
        </is>
      </c>
      <c r="BR94" s="208" t="inlineStr">
        <is>
          <t/>
        </is>
      </c>
      <c r="BS94" s="209" t="inlineStr">
        <is>
          <t>Completed</t>
        </is>
      </c>
      <c r="BT94" s="210" t="n">
        <v>43068.0</v>
      </c>
      <c r="BU94" s="211" t="n">
        <v>2.0</v>
      </c>
      <c r="BV94" s="212" t="inlineStr">
        <is>
          <t>Actual</t>
        </is>
      </c>
      <c r="BW94" s="213" t="inlineStr">
        <is>
          <t/>
        </is>
      </c>
      <c r="BX94" s="214" t="inlineStr">
        <is>
          <t/>
        </is>
      </c>
      <c r="BY94" s="215" t="inlineStr">
        <is>
          <t>Early Stage VC</t>
        </is>
      </c>
      <c r="BZ94" s="216" t="inlineStr">
        <is>
          <t>Series A</t>
        </is>
      </c>
      <c r="CA94" s="217" t="inlineStr">
        <is>
          <t/>
        </is>
      </c>
      <c r="CB94" s="218" t="inlineStr">
        <is>
          <t>Venture Capital</t>
        </is>
      </c>
      <c r="CC94" s="219" t="inlineStr">
        <is>
          <t/>
        </is>
      </c>
      <c r="CD94" s="220" t="inlineStr">
        <is>
          <t/>
        </is>
      </c>
      <c r="CE94" s="221" t="inlineStr">
        <is>
          <t/>
        </is>
      </c>
      <c r="CF94" s="222" t="inlineStr">
        <is>
          <t>Completed</t>
        </is>
      </c>
      <c r="CG94" s="223" t="inlineStr">
        <is>
          <t/>
        </is>
      </c>
      <c r="CH94" s="224" t="inlineStr">
        <is>
          <t/>
        </is>
      </c>
      <c r="CI94" s="225" t="inlineStr">
        <is>
          <t/>
        </is>
      </c>
      <c r="CJ94" s="226" t="inlineStr">
        <is>
          <t/>
        </is>
      </c>
      <c r="CK94" s="227" t="inlineStr">
        <is>
          <t/>
        </is>
      </c>
      <c r="CL94" s="228" t="inlineStr">
        <is>
          <t/>
        </is>
      </c>
      <c r="CM94" s="229" t="inlineStr">
        <is>
          <t/>
        </is>
      </c>
      <c r="CN94" s="230" t="inlineStr">
        <is>
          <t/>
        </is>
      </c>
      <c r="CO94" s="231" t="inlineStr">
        <is>
          <t/>
        </is>
      </c>
      <c r="CP94" s="232" t="inlineStr">
        <is>
          <t/>
        </is>
      </c>
      <c r="CQ94" s="233" t="inlineStr">
        <is>
          <t/>
        </is>
      </c>
      <c r="CR94" s="234" t="inlineStr">
        <is>
          <t/>
        </is>
      </c>
      <c r="CS94" s="235" t="inlineStr">
        <is>
          <t/>
        </is>
      </c>
      <c r="CT94" s="236" t="inlineStr">
        <is>
          <t/>
        </is>
      </c>
      <c r="CU94" s="237" t="inlineStr">
        <is>
          <t/>
        </is>
      </c>
      <c r="CV94" s="238" t="inlineStr">
        <is>
          <t/>
        </is>
      </c>
      <c r="CW94" s="239" t="inlineStr">
        <is>
          <t/>
        </is>
      </c>
      <c r="CX94" s="240" t="inlineStr">
        <is>
          <t/>
        </is>
      </c>
      <c r="CY94" s="241" t="inlineStr">
        <is>
          <t/>
        </is>
      </c>
      <c r="CZ94" s="242" t="inlineStr">
        <is>
          <t/>
        </is>
      </c>
      <c r="DA94" s="243" t="inlineStr">
        <is>
          <t/>
        </is>
      </c>
      <c r="DB94" s="244" t="inlineStr">
        <is>
          <t/>
        </is>
      </c>
      <c r="DC94" s="245" t="inlineStr">
        <is>
          <t/>
        </is>
      </c>
      <c r="DD94" s="246" t="inlineStr">
        <is>
          <t/>
        </is>
      </c>
      <c r="DE94" s="247" t="inlineStr">
        <is>
          <t/>
        </is>
      </c>
      <c r="DF94" s="248" t="inlineStr">
        <is>
          <t/>
        </is>
      </c>
      <c r="DG94" s="249" t="inlineStr">
        <is>
          <t/>
        </is>
      </c>
      <c r="DH94" s="250" t="inlineStr">
        <is>
          <t/>
        </is>
      </c>
      <c r="DI94" s="251" t="inlineStr">
        <is>
          <t/>
        </is>
      </c>
      <c r="DJ94" s="252" t="inlineStr">
        <is>
          <t/>
        </is>
      </c>
      <c r="DK94" s="253" t="inlineStr">
        <is>
          <t/>
        </is>
      </c>
      <c r="DL94" s="254" t="inlineStr">
        <is>
          <t/>
        </is>
      </c>
      <c r="DM94" s="255" t="inlineStr">
        <is>
          <t/>
        </is>
      </c>
      <c r="DN94" s="256" t="inlineStr">
        <is>
          <t/>
        </is>
      </c>
      <c r="DO94" s="257" t="inlineStr">
        <is>
          <t/>
        </is>
      </c>
      <c r="DP94" s="258" t="inlineStr">
        <is>
          <t/>
        </is>
      </c>
      <c r="DQ94" s="259" t="inlineStr">
        <is>
          <t/>
        </is>
      </c>
      <c r="DR94" s="260" t="inlineStr">
        <is>
          <t/>
        </is>
      </c>
      <c r="DS94" s="261" t="inlineStr">
        <is>
          <t/>
        </is>
      </c>
      <c r="DT94" s="262" t="inlineStr">
        <is>
          <t/>
        </is>
      </c>
      <c r="DU94" s="263" t="inlineStr">
        <is>
          <t/>
        </is>
      </c>
      <c r="DV94" s="264" t="inlineStr">
        <is>
          <t/>
        </is>
      </c>
      <c r="DW94" s="265" t="inlineStr">
        <is>
          <t/>
        </is>
      </c>
      <c r="DX94" s="266" t="inlineStr">
        <is>
          <t/>
        </is>
      </c>
      <c r="DY94" s="267" t="inlineStr">
        <is>
          <t>PitchBook Research</t>
        </is>
      </c>
      <c r="DZ94" s="786">
        <f>HYPERLINK("https://my.pitchbook.com?c=222622-21", "View company online")</f>
      </c>
    </row>
    <row r="95">
      <c r="A95" s="9" t="inlineStr">
        <is>
          <t>174348-64</t>
        </is>
      </c>
      <c r="B95" s="10" t="inlineStr">
        <is>
          <t>Taxfix</t>
        </is>
      </c>
      <c r="C95" s="11" t="inlineStr">
        <is>
          <t/>
        </is>
      </c>
      <c r="D95" s="12" t="inlineStr">
        <is>
          <t/>
        </is>
      </c>
      <c r="E95" s="13" t="inlineStr">
        <is>
          <t>174348-64</t>
        </is>
      </c>
      <c r="F95" s="14" t="inlineStr">
        <is>
          <t>Operator of an online taxation platform designed to make tax declarations easy. The company's online taxation platform offers a scalable technology for fully automated communication with the user and accommodation of fiscal differences across countries for future internationalization, enabling users to calculate tax directly from their smartphone and submit tax returns without any hassle.</t>
        </is>
      </c>
      <c r="G95" s="15" t="inlineStr">
        <is>
          <t>Information Technology</t>
        </is>
      </c>
      <c r="H95" s="16" t="inlineStr">
        <is>
          <t>Software</t>
        </is>
      </c>
      <c r="I95" s="17" t="inlineStr">
        <is>
          <t>Application Software</t>
        </is>
      </c>
      <c r="J95" s="18" t="inlineStr">
        <is>
          <t>Application Software*; Legal Services (B2C); Financial Software</t>
        </is>
      </c>
      <c r="K95" s="19" t="inlineStr">
        <is>
          <t>FinTech, Mobile</t>
        </is>
      </c>
      <c r="L95" s="20" t="inlineStr">
        <is>
          <t>Venture Capital-Backed</t>
        </is>
      </c>
      <c r="M95" s="21" t="n">
        <v>2.0</v>
      </c>
      <c r="N95" s="22" t="inlineStr">
        <is>
          <t>Generating Revenue</t>
        </is>
      </c>
      <c r="O95" s="23" t="inlineStr">
        <is>
          <t>Privately Held (backing)</t>
        </is>
      </c>
      <c r="P95" s="24" t="inlineStr">
        <is>
          <t>Venture Capital</t>
        </is>
      </c>
      <c r="Q95" s="25" t="inlineStr">
        <is>
          <t>www.taxfix.de</t>
        </is>
      </c>
      <c r="R95" s="26" t="n">
        <v>25.0</v>
      </c>
      <c r="S95" s="27" t="inlineStr">
        <is>
          <t/>
        </is>
      </c>
      <c r="T95" s="28" t="inlineStr">
        <is>
          <t/>
        </is>
      </c>
      <c r="U95" s="29" t="n">
        <v>2016.0</v>
      </c>
      <c r="V95" s="30" t="inlineStr">
        <is>
          <t/>
        </is>
      </c>
      <c r="W95" s="31" t="inlineStr">
        <is>
          <t/>
        </is>
      </c>
      <c r="X95" s="32" t="inlineStr">
        <is>
          <t/>
        </is>
      </c>
      <c r="Y95" s="33" t="inlineStr">
        <is>
          <t/>
        </is>
      </c>
      <c r="Z95" s="34" t="inlineStr">
        <is>
          <t/>
        </is>
      </c>
      <c r="AA95" s="35" t="inlineStr">
        <is>
          <t/>
        </is>
      </c>
      <c r="AB95" s="36" t="inlineStr">
        <is>
          <t/>
        </is>
      </c>
      <c r="AC95" s="37" t="inlineStr">
        <is>
          <t/>
        </is>
      </c>
      <c r="AD95" s="38" t="inlineStr">
        <is>
          <t/>
        </is>
      </c>
      <c r="AE95" s="39" t="inlineStr">
        <is>
          <t>171635-14P</t>
        </is>
      </c>
      <c r="AF95" s="40" t="inlineStr">
        <is>
          <t>Mathis Büchi</t>
        </is>
      </c>
      <c r="AG95" s="41" t="inlineStr">
        <is>
          <t>Managing Director &amp; Co-Founder</t>
        </is>
      </c>
      <c r="AH95" s="42" t="inlineStr">
        <is>
          <t>mathis@taxfix.de</t>
        </is>
      </c>
      <c r="AI95" s="43" t="inlineStr">
        <is>
          <t>+49 (0)30 9210 6949</t>
        </is>
      </c>
      <c r="AJ95" s="44" t="inlineStr">
        <is>
          <t>Berlin, Germany</t>
        </is>
      </c>
      <c r="AK95" s="45" t="inlineStr">
        <is>
          <t>Schwedter Straße 36A</t>
        </is>
      </c>
      <c r="AL95" s="46" t="inlineStr">
        <is>
          <t/>
        </is>
      </c>
      <c r="AM95" s="47" t="inlineStr">
        <is>
          <t>Berlin</t>
        </is>
      </c>
      <c r="AN95" s="48" t="inlineStr">
        <is>
          <t/>
        </is>
      </c>
      <c r="AO95" s="49" t="inlineStr">
        <is>
          <t>10435</t>
        </is>
      </c>
      <c r="AP95" s="50" t="inlineStr">
        <is>
          <t>Germany</t>
        </is>
      </c>
      <c r="AQ95" s="51" t="inlineStr">
        <is>
          <t>+49 (0)30 9210 6949</t>
        </is>
      </c>
      <c r="AR95" s="52" t="inlineStr">
        <is>
          <t/>
        </is>
      </c>
      <c r="AS95" s="53" t="inlineStr">
        <is>
          <t>hallo@taxfix.de</t>
        </is>
      </c>
      <c r="AT95" s="54" t="inlineStr">
        <is>
          <t>Europe</t>
        </is>
      </c>
      <c r="AU95" s="55" t="inlineStr">
        <is>
          <t>Western Europe</t>
        </is>
      </c>
      <c r="AV95" s="56" t="inlineStr">
        <is>
          <t>The company raised $2 million of seed funding in a deal led by Redalpine Venture Partners and Creandum on September 26, 2017. MK Venture Capital also participated in the round. The company will use the funding to internationalize its service and expand its business reach.</t>
        </is>
      </c>
      <c r="AW95" s="57" t="inlineStr">
        <is>
          <t>Creandum, MK Venture Capital, Redalpine Venture Partners</t>
        </is>
      </c>
      <c r="AX95" s="58" t="n">
        <v>3.0</v>
      </c>
      <c r="AY95" s="59" t="inlineStr">
        <is>
          <t/>
        </is>
      </c>
      <c r="AZ95" s="60" t="inlineStr">
        <is>
          <t/>
        </is>
      </c>
      <c r="BA95" s="61" t="inlineStr">
        <is>
          <t/>
        </is>
      </c>
      <c r="BB95" s="62" t="inlineStr">
        <is>
          <t>Creandum (www.creandum.com), MK Venture Capital (www.mk-vc.com), Redalpine Venture Partners (www.redalpine.com)</t>
        </is>
      </c>
      <c r="BC95" s="63" t="inlineStr">
        <is>
          <t/>
        </is>
      </c>
      <c r="BD95" s="64" t="inlineStr">
        <is>
          <t/>
        </is>
      </c>
      <c r="BE95" s="65" t="inlineStr">
        <is>
          <t/>
        </is>
      </c>
      <c r="BF95" s="66" t="inlineStr">
        <is>
          <t/>
        </is>
      </c>
      <c r="BG95" s="67" t="n">
        <v>43004.0</v>
      </c>
      <c r="BH95" s="68" t="n">
        <v>2.0</v>
      </c>
      <c r="BI95" s="69" t="inlineStr">
        <is>
          <t>Actual</t>
        </is>
      </c>
      <c r="BJ95" s="70" t="inlineStr">
        <is>
          <t/>
        </is>
      </c>
      <c r="BK95" s="71" t="inlineStr">
        <is>
          <t/>
        </is>
      </c>
      <c r="BL95" s="72" t="inlineStr">
        <is>
          <t>Seed Round</t>
        </is>
      </c>
      <c r="BM95" s="73" t="inlineStr">
        <is>
          <t>Seed</t>
        </is>
      </c>
      <c r="BN95" s="74" t="inlineStr">
        <is>
          <t/>
        </is>
      </c>
      <c r="BO95" s="75" t="inlineStr">
        <is>
          <t>Venture Capital</t>
        </is>
      </c>
      <c r="BP95" s="76" t="inlineStr">
        <is>
          <t/>
        </is>
      </c>
      <c r="BQ95" s="77" t="inlineStr">
        <is>
          <t/>
        </is>
      </c>
      <c r="BR95" s="78" t="inlineStr">
        <is>
          <t/>
        </is>
      </c>
      <c r="BS95" s="79" t="inlineStr">
        <is>
          <t>Completed</t>
        </is>
      </c>
      <c r="BT95" s="80" t="n">
        <v>43004.0</v>
      </c>
      <c r="BU95" s="81" t="n">
        <v>2.0</v>
      </c>
      <c r="BV95" s="82" t="inlineStr">
        <is>
          <t>Actual</t>
        </is>
      </c>
      <c r="BW95" s="83" t="inlineStr">
        <is>
          <t/>
        </is>
      </c>
      <c r="BX95" s="84" t="inlineStr">
        <is>
          <t/>
        </is>
      </c>
      <c r="BY95" s="85" t="inlineStr">
        <is>
          <t>Seed Round</t>
        </is>
      </c>
      <c r="BZ95" s="86" t="inlineStr">
        <is>
          <t>Seed</t>
        </is>
      </c>
      <c r="CA95" s="87" t="inlineStr">
        <is>
          <t/>
        </is>
      </c>
      <c r="CB95" s="88" t="inlineStr">
        <is>
          <t>Venture Capital</t>
        </is>
      </c>
      <c r="CC95" s="89" t="inlineStr">
        <is>
          <t/>
        </is>
      </c>
      <c r="CD95" s="90" t="inlineStr">
        <is>
          <t/>
        </is>
      </c>
      <c r="CE95" s="91" t="inlineStr">
        <is>
          <t/>
        </is>
      </c>
      <c r="CF95" s="92" t="inlineStr">
        <is>
          <t>Completed</t>
        </is>
      </c>
      <c r="CG95" s="93" t="inlineStr">
        <is>
          <t>2,10%</t>
        </is>
      </c>
      <c r="CH95" s="94" t="inlineStr">
        <is>
          <t>98</t>
        </is>
      </c>
      <c r="CI95" s="95" t="inlineStr">
        <is>
          <t>-0,07%</t>
        </is>
      </c>
      <c r="CJ95" s="96" t="inlineStr">
        <is>
          <t>-3,34%</t>
        </is>
      </c>
      <c r="CK95" s="97" t="inlineStr">
        <is>
          <t>1,91%</t>
        </is>
      </c>
      <c r="CL95" s="98" t="inlineStr">
        <is>
          <t>97</t>
        </is>
      </c>
      <c r="CM95" s="99" t="inlineStr">
        <is>
          <t>2,30%</t>
        </is>
      </c>
      <c r="CN95" s="100" t="inlineStr">
        <is>
          <t>99</t>
        </is>
      </c>
      <c r="CO95" s="101" t="inlineStr">
        <is>
          <t>3,81%</t>
        </is>
      </c>
      <c r="CP95" s="102" t="inlineStr">
        <is>
          <t>97</t>
        </is>
      </c>
      <c r="CQ95" s="103" t="inlineStr">
        <is>
          <t>0,00%</t>
        </is>
      </c>
      <c r="CR95" s="104" t="inlineStr">
        <is>
          <t>20</t>
        </is>
      </c>
      <c r="CS95" s="105" t="inlineStr">
        <is>
          <t>1,33%</t>
        </is>
      </c>
      <c r="CT95" s="106" t="inlineStr">
        <is>
          <t>96</t>
        </is>
      </c>
      <c r="CU95" s="107" t="inlineStr">
        <is>
          <t>3,28%</t>
        </is>
      </c>
      <c r="CV95" s="108" t="inlineStr">
        <is>
          <t>100</t>
        </is>
      </c>
      <c r="CW95" s="109" t="inlineStr">
        <is>
          <t>15,21x</t>
        </is>
      </c>
      <c r="CX95" s="110" t="inlineStr">
        <is>
          <t>91</t>
        </is>
      </c>
      <c r="CY95" s="111" t="inlineStr">
        <is>
          <t>0,00x</t>
        </is>
      </c>
      <c r="CZ95" s="112" t="inlineStr">
        <is>
          <t>0,03%</t>
        </is>
      </c>
      <c r="DA95" s="113" t="inlineStr">
        <is>
          <t>29,88x</t>
        </is>
      </c>
      <c r="DB95" s="114" t="inlineStr">
        <is>
          <t>96</t>
        </is>
      </c>
      <c r="DC95" s="115" t="inlineStr">
        <is>
          <t>0,54x</t>
        </is>
      </c>
      <c r="DD95" s="116" t="inlineStr">
        <is>
          <t>37</t>
        </is>
      </c>
      <c r="DE95" s="117" t="inlineStr">
        <is>
          <t>59,18x</t>
        </is>
      </c>
      <c r="DF95" s="118" t="inlineStr">
        <is>
          <t>97</t>
        </is>
      </c>
      <c r="DG95" s="119" t="inlineStr">
        <is>
          <t>0,58x</t>
        </is>
      </c>
      <c r="DH95" s="120" t="inlineStr">
        <is>
          <t>39</t>
        </is>
      </c>
      <c r="DI95" s="121" t="inlineStr">
        <is>
          <t>0,72x</t>
        </is>
      </c>
      <c r="DJ95" s="122" t="inlineStr">
        <is>
          <t>45</t>
        </is>
      </c>
      <c r="DK95" s="123" t="inlineStr">
        <is>
          <t>0,36x</t>
        </is>
      </c>
      <c r="DL95" s="124" t="inlineStr">
        <is>
          <t>33</t>
        </is>
      </c>
      <c r="DM95" s="125" t="inlineStr">
        <is>
          <t>21.592</t>
        </is>
      </c>
      <c r="DN95" s="126" t="inlineStr">
        <is>
          <t>1.089</t>
        </is>
      </c>
      <c r="DO95" s="127" t="inlineStr">
        <is>
          <t>5,31%</t>
        </is>
      </c>
      <c r="DP95" s="128" t="inlineStr">
        <is>
          <t>562</t>
        </is>
      </c>
      <c r="DQ95" s="129" t="inlineStr">
        <is>
          <t>12</t>
        </is>
      </c>
      <c r="DR95" s="130" t="inlineStr">
        <is>
          <t>2,18%</t>
        </is>
      </c>
      <c r="DS95" s="131" t="inlineStr">
        <is>
          <t>21</t>
        </is>
      </c>
      <c r="DT95" s="132" t="inlineStr">
        <is>
          <t>0</t>
        </is>
      </c>
      <c r="DU95" s="133" t="inlineStr">
        <is>
          <t>0,00%</t>
        </is>
      </c>
      <c r="DV95" s="134" t="inlineStr">
        <is>
          <t>132</t>
        </is>
      </c>
      <c r="DW95" s="135" t="inlineStr">
        <is>
          <t>2</t>
        </is>
      </c>
      <c r="DX95" s="136" t="inlineStr">
        <is>
          <t>1,54%</t>
        </is>
      </c>
      <c r="DY95" s="137" t="inlineStr">
        <is>
          <t>PitchBook Research</t>
        </is>
      </c>
      <c r="DZ95" s="785">
        <f>HYPERLINK("https://my.pitchbook.com?c=174348-64", "View company online")</f>
      </c>
    </row>
    <row r="96">
      <c r="A96" s="139" t="inlineStr">
        <is>
          <t>177191-74</t>
        </is>
      </c>
      <c r="B96" s="140" t="inlineStr">
        <is>
          <t>Laminaria</t>
        </is>
      </c>
      <c r="C96" s="141" t="inlineStr">
        <is>
          <t/>
        </is>
      </c>
      <c r="D96" s="142" t="inlineStr">
        <is>
          <t/>
        </is>
      </c>
      <c r="E96" s="143" t="inlineStr">
        <is>
          <t>177191-74</t>
        </is>
      </c>
      <c r="F96" s="144" t="inlineStr">
        <is>
          <t>Developer of wave energy technology intended to have a vital impact on the renewable wave energy landscape. The company's wave energy technology is subjected to a tilting and translating motion which is transferred through the mooring ropes to the generators, enabling operators generate power.</t>
        </is>
      </c>
      <c r="G96" s="145" t="inlineStr">
        <is>
          <t>Energy</t>
        </is>
      </c>
      <c r="H96" s="146" t="inlineStr">
        <is>
          <t>Energy Equipment</t>
        </is>
      </c>
      <c r="I96" s="147" t="inlineStr">
        <is>
          <t>Alternative Energy Equipment</t>
        </is>
      </c>
      <c r="J96" s="148" t="inlineStr">
        <is>
          <t>Alternative Energy Equipment*; Energy Production; Energy Infrastructure</t>
        </is>
      </c>
      <c r="K96" s="149" t="inlineStr">
        <is>
          <t>CleanTech</t>
        </is>
      </c>
      <c r="L96" s="150" t="inlineStr">
        <is>
          <t>Venture Capital-Backed</t>
        </is>
      </c>
      <c r="M96" s="151" t="n">
        <v>2.0</v>
      </c>
      <c r="N96" s="152" t="inlineStr">
        <is>
          <t>Generating Revenue</t>
        </is>
      </c>
      <c r="O96" s="153" t="inlineStr">
        <is>
          <t>Privately Held (backing)</t>
        </is>
      </c>
      <c r="P96" s="154" t="inlineStr">
        <is>
          <t>Venture Capital</t>
        </is>
      </c>
      <c r="Q96" s="155" t="inlineStr">
        <is>
          <t>www.laminaria.be</t>
        </is>
      </c>
      <c r="R96" s="156" t="inlineStr">
        <is>
          <t/>
        </is>
      </c>
      <c r="S96" s="157" t="inlineStr">
        <is>
          <t/>
        </is>
      </c>
      <c r="T96" s="158" t="inlineStr">
        <is>
          <t/>
        </is>
      </c>
      <c r="U96" s="159" t="inlineStr">
        <is>
          <t/>
        </is>
      </c>
      <c r="V96" s="160" t="inlineStr">
        <is>
          <t/>
        </is>
      </c>
      <c r="W96" s="161" t="inlineStr">
        <is>
          <t/>
        </is>
      </c>
      <c r="X96" s="162" t="inlineStr">
        <is>
          <t/>
        </is>
      </c>
      <c r="Y96" s="163" t="inlineStr">
        <is>
          <t/>
        </is>
      </c>
      <c r="Z96" s="164" t="inlineStr">
        <is>
          <t/>
        </is>
      </c>
      <c r="AA96" s="165" t="inlineStr">
        <is>
          <t/>
        </is>
      </c>
      <c r="AB96" s="166" t="inlineStr">
        <is>
          <t/>
        </is>
      </c>
      <c r="AC96" s="167" t="inlineStr">
        <is>
          <t/>
        </is>
      </c>
      <c r="AD96" s="168" t="inlineStr">
        <is>
          <t/>
        </is>
      </c>
      <c r="AE96" s="169" t="inlineStr">
        <is>
          <t>171468-28P</t>
        </is>
      </c>
      <c r="AF96" s="170" t="inlineStr">
        <is>
          <t>Steven Nauwelaerts</t>
        </is>
      </c>
      <c r="AG96" s="171" t="inlineStr">
        <is>
          <t>Chief Executive Officer</t>
        </is>
      </c>
      <c r="AH96" s="172" t="inlineStr">
        <is>
          <t>steven@laminaria.be</t>
        </is>
      </c>
      <c r="AI96" s="173" t="inlineStr">
        <is>
          <t/>
        </is>
      </c>
      <c r="AJ96" s="174" t="inlineStr">
        <is>
          <t>Ostend, Belgium</t>
        </is>
      </c>
      <c r="AK96" s="175" t="inlineStr">
        <is>
          <t>Greenbridge</t>
        </is>
      </c>
      <c r="AL96" s="176" t="inlineStr">
        <is>
          <t>Wetenschapspark 1</t>
        </is>
      </c>
      <c r="AM96" s="177" t="inlineStr">
        <is>
          <t>Ostend</t>
        </is>
      </c>
      <c r="AN96" s="178" t="inlineStr">
        <is>
          <t/>
        </is>
      </c>
      <c r="AO96" s="179" t="inlineStr">
        <is>
          <t>8400</t>
        </is>
      </c>
      <c r="AP96" s="180" t="inlineStr">
        <is>
          <t>Belgium</t>
        </is>
      </c>
      <c r="AQ96" s="181" t="inlineStr">
        <is>
          <t/>
        </is>
      </c>
      <c r="AR96" s="182" t="inlineStr">
        <is>
          <t/>
        </is>
      </c>
      <c r="AS96" s="183" t="inlineStr">
        <is>
          <t/>
        </is>
      </c>
      <c r="AT96" s="184" t="inlineStr">
        <is>
          <t>Europe</t>
        </is>
      </c>
      <c r="AU96" s="185" t="inlineStr">
        <is>
          <t>Western Europe</t>
        </is>
      </c>
      <c r="AV96" s="186" t="inlineStr">
        <is>
          <t>The company raised EUR 2 million of venture funding from Qbic Fund, ParticipatieMaatschappij Vlaanderen and Clean Energy Invest on September 5, 2017. The funds will be used to further develop its wave energy generation technology and initiate a full-scale demonstration project at the European Marine Energy Centre (EMEC) in Orkney, Scotland.</t>
        </is>
      </c>
      <c r="AW96" s="187" t="inlineStr">
        <is>
          <t>Clean Energy Invest, ParticipatieMaatschappij Vlaanderen, Qbic Fund</t>
        </is>
      </c>
      <c r="AX96" s="188" t="n">
        <v>3.0</v>
      </c>
      <c r="AY96" s="189" t="inlineStr">
        <is>
          <t/>
        </is>
      </c>
      <c r="AZ96" s="190" t="inlineStr">
        <is>
          <t/>
        </is>
      </c>
      <c r="BA96" s="191" t="inlineStr">
        <is>
          <t/>
        </is>
      </c>
      <c r="BB96" s="192" t="inlineStr">
        <is>
          <t>Clean Energy Invest (www.cleanenergyinvest.be), ParticipatieMaatschappij Vlaanderen (www.pmv.eu), Qbic Fund (www.qbic.be)</t>
        </is>
      </c>
      <c r="BC96" s="193" t="inlineStr">
        <is>
          <t/>
        </is>
      </c>
      <c r="BD96" s="194" t="inlineStr">
        <is>
          <t/>
        </is>
      </c>
      <c r="BE96" s="195" t="inlineStr">
        <is>
          <t/>
        </is>
      </c>
      <c r="BF96" s="196" t="inlineStr">
        <is>
          <t/>
        </is>
      </c>
      <c r="BG96" s="197" t="n">
        <v>41640.0</v>
      </c>
      <c r="BH96" s="198" t="inlineStr">
        <is>
          <t/>
        </is>
      </c>
      <c r="BI96" s="199" t="inlineStr">
        <is>
          <t/>
        </is>
      </c>
      <c r="BJ96" s="200" t="inlineStr">
        <is>
          <t/>
        </is>
      </c>
      <c r="BK96" s="201" t="inlineStr">
        <is>
          <t/>
        </is>
      </c>
      <c r="BL96" s="202" t="inlineStr">
        <is>
          <t>Early Stage VC</t>
        </is>
      </c>
      <c r="BM96" s="203" t="inlineStr">
        <is>
          <t/>
        </is>
      </c>
      <c r="BN96" s="204" t="inlineStr">
        <is>
          <t/>
        </is>
      </c>
      <c r="BO96" s="205" t="inlineStr">
        <is>
          <t>Venture Capital</t>
        </is>
      </c>
      <c r="BP96" s="206" t="inlineStr">
        <is>
          <t/>
        </is>
      </c>
      <c r="BQ96" s="207" t="inlineStr">
        <is>
          <t/>
        </is>
      </c>
      <c r="BR96" s="208" t="inlineStr">
        <is>
          <t/>
        </is>
      </c>
      <c r="BS96" s="209" t="inlineStr">
        <is>
          <t>Completed</t>
        </is>
      </c>
      <c r="BT96" s="210" t="n">
        <v>42983.0</v>
      </c>
      <c r="BU96" s="211" t="n">
        <v>2.0</v>
      </c>
      <c r="BV96" s="212" t="inlineStr">
        <is>
          <t>Actual</t>
        </is>
      </c>
      <c r="BW96" s="213" t="inlineStr">
        <is>
          <t/>
        </is>
      </c>
      <c r="BX96" s="214" t="inlineStr">
        <is>
          <t/>
        </is>
      </c>
      <c r="BY96" s="215" t="inlineStr">
        <is>
          <t>Early Stage VC</t>
        </is>
      </c>
      <c r="BZ96" s="216" t="inlineStr">
        <is>
          <t/>
        </is>
      </c>
      <c r="CA96" s="217" t="inlineStr">
        <is>
          <t/>
        </is>
      </c>
      <c r="CB96" s="218" t="inlineStr">
        <is>
          <t>Venture Capital</t>
        </is>
      </c>
      <c r="CC96" s="219" t="inlineStr">
        <is>
          <t/>
        </is>
      </c>
      <c r="CD96" s="220" t="inlineStr">
        <is>
          <t/>
        </is>
      </c>
      <c r="CE96" s="221" t="inlineStr">
        <is>
          <t/>
        </is>
      </c>
      <c r="CF96" s="222" t="inlineStr">
        <is>
          <t>Completed</t>
        </is>
      </c>
      <c r="CG96" s="223" t="inlineStr">
        <is>
          <t>1,02%</t>
        </is>
      </c>
      <c r="CH96" s="224" t="inlineStr">
        <is>
          <t>95</t>
        </is>
      </c>
      <c r="CI96" s="225" t="inlineStr">
        <is>
          <t>-0,07%</t>
        </is>
      </c>
      <c r="CJ96" s="226" t="inlineStr">
        <is>
          <t>-6,77%</t>
        </is>
      </c>
      <c r="CK96" s="227" t="inlineStr">
        <is>
          <t>0,00%</t>
        </is>
      </c>
      <c r="CL96" s="228" t="inlineStr">
        <is>
          <t>28</t>
        </is>
      </c>
      <c r="CM96" s="229" t="inlineStr">
        <is>
          <t>2,05%</t>
        </is>
      </c>
      <c r="CN96" s="230" t="inlineStr">
        <is>
          <t>99</t>
        </is>
      </c>
      <c r="CO96" s="231" t="inlineStr">
        <is>
          <t/>
        </is>
      </c>
      <c r="CP96" s="232" t="inlineStr">
        <is>
          <t/>
        </is>
      </c>
      <c r="CQ96" s="233" t="inlineStr">
        <is>
          <t>0,00%</t>
        </is>
      </c>
      <c r="CR96" s="234" t="inlineStr">
        <is>
          <t>20</t>
        </is>
      </c>
      <c r="CS96" s="235" t="inlineStr">
        <is>
          <t/>
        </is>
      </c>
      <c r="CT96" s="236" t="inlineStr">
        <is>
          <t/>
        </is>
      </c>
      <c r="CU96" s="237" t="inlineStr">
        <is>
          <t>2,05%</t>
        </is>
      </c>
      <c r="CV96" s="238" t="inlineStr">
        <is>
          <t>99</t>
        </is>
      </c>
      <c r="CW96" s="239" t="inlineStr">
        <is>
          <t>0,58x</t>
        </is>
      </c>
      <c r="CX96" s="240" t="inlineStr">
        <is>
          <t>36</t>
        </is>
      </c>
      <c r="CY96" s="241" t="inlineStr">
        <is>
          <t>0,02x</t>
        </is>
      </c>
      <c r="CZ96" s="242" t="inlineStr">
        <is>
          <t>3,05%</t>
        </is>
      </c>
      <c r="DA96" s="243" t="inlineStr">
        <is>
          <t>0,81x</t>
        </is>
      </c>
      <c r="DB96" s="244" t="inlineStr">
        <is>
          <t>46</t>
        </is>
      </c>
      <c r="DC96" s="245" t="inlineStr">
        <is>
          <t>0,36x</t>
        </is>
      </c>
      <c r="DD96" s="246" t="inlineStr">
        <is>
          <t>30</t>
        </is>
      </c>
      <c r="DE96" s="247" t="inlineStr">
        <is>
          <t/>
        </is>
      </c>
      <c r="DF96" s="248" t="inlineStr">
        <is>
          <t/>
        </is>
      </c>
      <c r="DG96" s="249" t="inlineStr">
        <is>
          <t>0,81x</t>
        </is>
      </c>
      <c r="DH96" s="250" t="inlineStr">
        <is>
          <t>46</t>
        </is>
      </c>
      <c r="DI96" s="251" t="inlineStr">
        <is>
          <t/>
        </is>
      </c>
      <c r="DJ96" s="252" t="inlineStr">
        <is>
          <t/>
        </is>
      </c>
      <c r="DK96" s="253" t="inlineStr">
        <is>
          <t>0,36x</t>
        </is>
      </c>
      <c r="DL96" s="254" t="inlineStr">
        <is>
          <t>33</t>
        </is>
      </c>
      <c r="DM96" s="255" t="inlineStr">
        <is>
          <t/>
        </is>
      </c>
      <c r="DN96" s="256" t="inlineStr">
        <is>
          <t/>
        </is>
      </c>
      <c r="DO96" s="257" t="inlineStr">
        <is>
          <t/>
        </is>
      </c>
      <c r="DP96" s="258" t="inlineStr">
        <is>
          <t/>
        </is>
      </c>
      <c r="DQ96" s="259" t="inlineStr">
        <is>
          <t/>
        </is>
      </c>
      <c r="DR96" s="260" t="inlineStr">
        <is>
          <t/>
        </is>
      </c>
      <c r="DS96" s="261" t="inlineStr">
        <is>
          <t>28</t>
        </is>
      </c>
      <c r="DT96" s="262" t="inlineStr">
        <is>
          <t>0</t>
        </is>
      </c>
      <c r="DU96" s="263" t="inlineStr">
        <is>
          <t>0,00%</t>
        </is>
      </c>
      <c r="DV96" s="264" t="inlineStr">
        <is>
          <t>134</t>
        </is>
      </c>
      <c r="DW96" s="265" t="inlineStr">
        <is>
          <t>2</t>
        </is>
      </c>
      <c r="DX96" s="266" t="inlineStr">
        <is>
          <t>1,52%</t>
        </is>
      </c>
      <c r="DY96" s="267" t="inlineStr">
        <is>
          <t>PitchBook Research</t>
        </is>
      </c>
      <c r="DZ96" s="786">
        <f>HYPERLINK("https://my.pitchbook.com?c=177191-74", "View company online")</f>
      </c>
    </row>
    <row r="97">
      <c r="A97" s="9" t="inlineStr">
        <is>
          <t>188041-24</t>
        </is>
      </c>
      <c r="B97" s="10" t="inlineStr">
        <is>
          <t>Manager.one</t>
        </is>
      </c>
      <c r="C97" s="11" t="inlineStr">
        <is>
          <t/>
        </is>
      </c>
      <c r="D97" s="12" t="inlineStr">
        <is>
          <t/>
        </is>
      </c>
      <c r="E97" s="13" t="inlineStr">
        <is>
          <t>188041-24</t>
        </is>
      </c>
      <c r="F97" s="14" t="inlineStr">
        <is>
          <t>Provider of an online banking platform intended to provide alternative banking and financial management services. The company's banking platform provides efficient and secure banking services which includes simplified accounting, user management, consulting banking operations and a business card, enabling users to make free and no commission payments online.</t>
        </is>
      </c>
      <c r="G97" s="15" t="inlineStr">
        <is>
          <t>Information Technology</t>
        </is>
      </c>
      <c r="H97" s="16" t="inlineStr">
        <is>
          <t>Software</t>
        </is>
      </c>
      <c r="I97" s="17" t="inlineStr">
        <is>
          <t>Financial Software</t>
        </is>
      </c>
      <c r="J97" s="18" t="inlineStr">
        <is>
          <t>Financial Software*; Other Financial Services; Application Software</t>
        </is>
      </c>
      <c r="K97" s="19" t="inlineStr">
        <is>
          <t>FinTech, Mobile</t>
        </is>
      </c>
      <c r="L97" s="20" t="inlineStr">
        <is>
          <t>Angel-Backed</t>
        </is>
      </c>
      <c r="M97" s="21" t="n">
        <v>2.0</v>
      </c>
      <c r="N97" s="22" t="inlineStr">
        <is>
          <t>Generating Revenue</t>
        </is>
      </c>
      <c r="O97" s="23" t="inlineStr">
        <is>
          <t>Privately Held (backing)</t>
        </is>
      </c>
      <c r="P97" s="24" t="inlineStr">
        <is>
          <t>Pre-venture</t>
        </is>
      </c>
      <c r="Q97" s="25" t="inlineStr">
        <is>
          <t>www.manager.one</t>
        </is>
      </c>
      <c r="R97" s="26" t="inlineStr">
        <is>
          <t/>
        </is>
      </c>
      <c r="S97" s="27" t="inlineStr">
        <is>
          <t/>
        </is>
      </c>
      <c r="T97" s="28" t="inlineStr">
        <is>
          <t/>
        </is>
      </c>
      <c r="U97" s="29" t="n">
        <v>2017.0</v>
      </c>
      <c r="V97" s="30" t="inlineStr">
        <is>
          <t/>
        </is>
      </c>
      <c r="W97" s="31" t="inlineStr">
        <is>
          <t/>
        </is>
      </c>
      <c r="X97" s="32" t="inlineStr">
        <is>
          <t/>
        </is>
      </c>
      <c r="Y97" s="33" t="inlineStr">
        <is>
          <t/>
        </is>
      </c>
      <c r="Z97" s="34" t="inlineStr">
        <is>
          <t/>
        </is>
      </c>
      <c r="AA97" s="35" t="inlineStr">
        <is>
          <t/>
        </is>
      </c>
      <c r="AB97" s="36" t="inlineStr">
        <is>
          <t/>
        </is>
      </c>
      <c r="AC97" s="37" t="inlineStr">
        <is>
          <t/>
        </is>
      </c>
      <c r="AD97" s="38" t="inlineStr">
        <is>
          <t/>
        </is>
      </c>
      <c r="AE97" s="39" t="inlineStr">
        <is>
          <t/>
        </is>
      </c>
      <c r="AF97" s="40" t="inlineStr">
        <is>
          <t/>
        </is>
      </c>
      <c r="AG97" s="41" t="inlineStr">
        <is>
          <t/>
        </is>
      </c>
      <c r="AH97" s="42" t="inlineStr">
        <is>
          <t/>
        </is>
      </c>
      <c r="AI97" s="43" t="inlineStr">
        <is>
          <t/>
        </is>
      </c>
      <c r="AJ97" s="44" t="inlineStr">
        <is>
          <t>Paris, France</t>
        </is>
      </c>
      <c r="AK97" s="45" t="inlineStr">
        <is>
          <t>13 Boulevard Haussmann</t>
        </is>
      </c>
      <c r="AL97" s="46" t="inlineStr">
        <is>
          <t/>
        </is>
      </c>
      <c r="AM97" s="47" t="inlineStr">
        <is>
          <t>Paris</t>
        </is>
      </c>
      <c r="AN97" s="48" t="inlineStr">
        <is>
          <t/>
        </is>
      </c>
      <c r="AO97" s="49" t="inlineStr">
        <is>
          <t>75009</t>
        </is>
      </c>
      <c r="AP97" s="50" t="inlineStr">
        <is>
          <t>France</t>
        </is>
      </c>
      <c r="AQ97" s="51" t="inlineStr">
        <is>
          <t>+33 (0)1 47 70 83 83</t>
        </is>
      </c>
      <c r="AR97" s="52" t="inlineStr">
        <is>
          <t/>
        </is>
      </c>
      <c r="AS97" s="53" t="inlineStr">
        <is>
          <t>contact@manager.one</t>
        </is>
      </c>
      <c r="AT97" s="54" t="inlineStr">
        <is>
          <t>Europe</t>
        </is>
      </c>
      <c r="AU97" s="55" t="inlineStr">
        <is>
          <t>Western Europe</t>
        </is>
      </c>
      <c r="AV97" s="56" t="inlineStr">
        <is>
          <t>The company raised EUR 2 million of angel funding from Michael Benabou, Alain Krzentowski, Didier Rosenberg and Laurent Dassault on October 12, 2017. The fund will be used for building the greatest team possible and for marketing.</t>
        </is>
      </c>
      <c r="AW97" s="57" t="inlineStr">
        <is>
          <t>Alain Krzentowski, Didier Rosenberg, Michael Benabou</t>
        </is>
      </c>
      <c r="AX97" s="58" t="n">
        <v>3.0</v>
      </c>
      <c r="AY97" s="59" t="inlineStr">
        <is>
          <t/>
        </is>
      </c>
      <c r="AZ97" s="60" t="inlineStr">
        <is>
          <t/>
        </is>
      </c>
      <c r="BA97" s="61" t="inlineStr">
        <is>
          <t/>
        </is>
      </c>
      <c r="BB97" s="62" t="inlineStr">
        <is>
          <t/>
        </is>
      </c>
      <c r="BC97" s="63" t="inlineStr">
        <is>
          <t/>
        </is>
      </c>
      <c r="BD97" s="64" t="inlineStr">
        <is>
          <t/>
        </is>
      </c>
      <c r="BE97" s="65" t="inlineStr">
        <is>
          <t/>
        </is>
      </c>
      <c r="BF97" s="66" t="inlineStr">
        <is>
          <t/>
        </is>
      </c>
      <c r="BG97" s="67" t="n">
        <v>43020.0</v>
      </c>
      <c r="BH97" s="68" t="n">
        <v>2.0</v>
      </c>
      <c r="BI97" s="69" t="inlineStr">
        <is>
          <t>Actual</t>
        </is>
      </c>
      <c r="BJ97" s="70" t="inlineStr">
        <is>
          <t/>
        </is>
      </c>
      <c r="BK97" s="71" t="inlineStr">
        <is>
          <t/>
        </is>
      </c>
      <c r="BL97" s="72" t="inlineStr">
        <is>
          <t>Angel (individual)</t>
        </is>
      </c>
      <c r="BM97" s="73" t="inlineStr">
        <is>
          <t>Angel</t>
        </is>
      </c>
      <c r="BN97" s="74" t="inlineStr">
        <is>
          <t/>
        </is>
      </c>
      <c r="BO97" s="75" t="inlineStr">
        <is>
          <t>Individual</t>
        </is>
      </c>
      <c r="BP97" s="76" t="inlineStr">
        <is>
          <t/>
        </is>
      </c>
      <c r="BQ97" s="77" t="inlineStr">
        <is>
          <t/>
        </is>
      </c>
      <c r="BR97" s="78" t="inlineStr">
        <is>
          <t/>
        </is>
      </c>
      <c r="BS97" s="79" t="inlineStr">
        <is>
          <t>Completed</t>
        </is>
      </c>
      <c r="BT97" s="80" t="n">
        <v>43020.0</v>
      </c>
      <c r="BU97" s="81" t="n">
        <v>2.0</v>
      </c>
      <c r="BV97" s="82" t="inlineStr">
        <is>
          <t>Actual</t>
        </is>
      </c>
      <c r="BW97" s="83" t="inlineStr">
        <is>
          <t/>
        </is>
      </c>
      <c r="BX97" s="84" t="inlineStr">
        <is>
          <t/>
        </is>
      </c>
      <c r="BY97" s="85" t="inlineStr">
        <is>
          <t>Angel (individual)</t>
        </is>
      </c>
      <c r="BZ97" s="86" t="inlineStr">
        <is>
          <t>Angel</t>
        </is>
      </c>
      <c r="CA97" s="87" t="inlineStr">
        <is>
          <t/>
        </is>
      </c>
      <c r="CB97" s="88" t="inlineStr">
        <is>
          <t>Individual</t>
        </is>
      </c>
      <c r="CC97" s="89" t="inlineStr">
        <is>
          <t/>
        </is>
      </c>
      <c r="CD97" s="90" t="inlineStr">
        <is>
          <t/>
        </is>
      </c>
      <c r="CE97" s="91" t="inlineStr">
        <is>
          <t/>
        </is>
      </c>
      <c r="CF97" s="92" t="inlineStr">
        <is>
          <t>Completed</t>
        </is>
      </c>
      <c r="CG97" s="93" t="inlineStr">
        <is>
          <t>0,90%</t>
        </is>
      </c>
      <c r="CH97" s="94" t="inlineStr">
        <is>
          <t>94</t>
        </is>
      </c>
      <c r="CI97" s="95" t="inlineStr">
        <is>
          <t/>
        </is>
      </c>
      <c r="CJ97" s="96" t="inlineStr">
        <is>
          <t/>
        </is>
      </c>
      <c r="CK97" s="97" t="inlineStr">
        <is>
          <t/>
        </is>
      </c>
      <c r="CL97" s="98" t="inlineStr">
        <is>
          <t/>
        </is>
      </c>
      <c r="CM97" s="99" t="inlineStr">
        <is>
          <t>0,90%</t>
        </is>
      </c>
      <c r="CN97" s="100" t="inlineStr">
        <is>
          <t>95</t>
        </is>
      </c>
      <c r="CO97" s="101" t="inlineStr">
        <is>
          <t/>
        </is>
      </c>
      <c r="CP97" s="102" t="inlineStr">
        <is>
          <t/>
        </is>
      </c>
      <c r="CQ97" s="103" t="inlineStr">
        <is>
          <t/>
        </is>
      </c>
      <c r="CR97" s="104" t="inlineStr">
        <is>
          <t/>
        </is>
      </c>
      <c r="CS97" s="105" t="inlineStr">
        <is>
          <t>0,90%</t>
        </is>
      </c>
      <c r="CT97" s="106" t="inlineStr">
        <is>
          <t>94</t>
        </is>
      </c>
      <c r="CU97" s="107" t="inlineStr">
        <is>
          <t/>
        </is>
      </c>
      <c r="CV97" s="108" t="inlineStr">
        <is>
          <t/>
        </is>
      </c>
      <c r="CW97" s="109" t="inlineStr">
        <is>
          <t>0,17x</t>
        </is>
      </c>
      <c r="CX97" s="110" t="inlineStr">
        <is>
          <t>14</t>
        </is>
      </c>
      <c r="CY97" s="111" t="inlineStr">
        <is>
          <t/>
        </is>
      </c>
      <c r="CZ97" s="112" t="inlineStr">
        <is>
          <t/>
        </is>
      </c>
      <c r="DA97" s="113" t="inlineStr">
        <is>
          <t/>
        </is>
      </c>
      <c r="DB97" s="114" t="inlineStr">
        <is>
          <t/>
        </is>
      </c>
      <c r="DC97" s="115" t="inlineStr">
        <is>
          <t>0,17x</t>
        </is>
      </c>
      <c r="DD97" s="116" t="inlineStr">
        <is>
          <t>19</t>
        </is>
      </c>
      <c r="DE97" s="117" t="inlineStr">
        <is>
          <t/>
        </is>
      </c>
      <c r="DF97" s="118" t="inlineStr">
        <is>
          <t/>
        </is>
      </c>
      <c r="DG97" s="119" t="inlineStr">
        <is>
          <t/>
        </is>
      </c>
      <c r="DH97" s="120" t="inlineStr">
        <is>
          <t/>
        </is>
      </c>
      <c r="DI97" s="121" t="inlineStr">
        <is>
          <t>0,17x</t>
        </is>
      </c>
      <c r="DJ97" s="122" t="inlineStr">
        <is>
          <t>21</t>
        </is>
      </c>
      <c r="DK97" s="123" t="inlineStr">
        <is>
          <t/>
        </is>
      </c>
      <c r="DL97" s="124" t="inlineStr">
        <is>
          <t/>
        </is>
      </c>
      <c r="DM97" s="125" t="inlineStr">
        <is>
          <t/>
        </is>
      </c>
      <c r="DN97" s="126" t="inlineStr">
        <is>
          <t/>
        </is>
      </c>
      <c r="DO97" s="127" t="inlineStr">
        <is>
          <t/>
        </is>
      </c>
      <c r="DP97" s="128" t="inlineStr">
        <is>
          <t>135</t>
        </is>
      </c>
      <c r="DQ97" s="129" t="inlineStr">
        <is>
          <t>1</t>
        </is>
      </c>
      <c r="DR97" s="130" t="inlineStr">
        <is>
          <t>0,75%</t>
        </is>
      </c>
      <c r="DS97" s="131" t="inlineStr">
        <is>
          <t>17</t>
        </is>
      </c>
      <c r="DT97" s="132" t="inlineStr">
        <is>
          <t>0</t>
        </is>
      </c>
      <c r="DU97" s="133" t="inlineStr">
        <is>
          <t>0,00%</t>
        </is>
      </c>
      <c r="DV97" s="134" t="inlineStr">
        <is>
          <t/>
        </is>
      </c>
      <c r="DW97" s="135" t="inlineStr">
        <is>
          <t/>
        </is>
      </c>
      <c r="DX97" s="136" t="inlineStr">
        <is>
          <t/>
        </is>
      </c>
      <c r="DY97" s="137" t="inlineStr">
        <is>
          <t>PitchBook Research</t>
        </is>
      </c>
      <c r="DZ97" s="785">
        <f>HYPERLINK("https://my.pitchbook.com?c=188041-24", "View company online")</f>
      </c>
    </row>
    <row r="98">
      <c r="A98" s="139" t="inlineStr">
        <is>
          <t>188038-81</t>
        </is>
      </c>
      <c r="B98" s="140" t="inlineStr">
        <is>
          <t>Quantilia</t>
        </is>
      </c>
      <c r="C98" s="141" t="inlineStr">
        <is>
          <t/>
        </is>
      </c>
      <c r="D98" s="142" t="inlineStr">
        <is>
          <t/>
        </is>
      </c>
      <c r="E98" s="143" t="inlineStr">
        <is>
          <t>188038-81</t>
        </is>
      </c>
      <c r="F98" s="144" t="inlineStr">
        <is>
          <t>Provider of a data and portfolio management platform intended to offer quant investing strategies. The company's data and portfolio management platform helps to centralize all the custom index data gathered in one place, enabling its clients to access the information and data they require for the purpose of investment and portfolio management.</t>
        </is>
      </c>
      <c r="G98" s="145" t="inlineStr">
        <is>
          <t>Information Technology</t>
        </is>
      </c>
      <c r="H98" s="146" t="inlineStr">
        <is>
          <t>Software</t>
        </is>
      </c>
      <c r="I98" s="147" t="inlineStr">
        <is>
          <t>Application Software</t>
        </is>
      </c>
      <c r="J98" s="148" t="inlineStr">
        <is>
          <t>Application Software*; Database Software; Financial Software</t>
        </is>
      </c>
      <c r="K98" s="149" t="inlineStr">
        <is>
          <t>FinTech</t>
        </is>
      </c>
      <c r="L98" s="150" t="inlineStr">
        <is>
          <t>Venture Capital-Backed</t>
        </is>
      </c>
      <c r="M98" s="151" t="n">
        <v>2.0</v>
      </c>
      <c r="N98" s="152" t="inlineStr">
        <is>
          <t>Generating Revenue</t>
        </is>
      </c>
      <c r="O98" s="153" t="inlineStr">
        <is>
          <t>Privately Held (backing)</t>
        </is>
      </c>
      <c r="P98" s="154" t="inlineStr">
        <is>
          <t>Venture Capital</t>
        </is>
      </c>
      <c r="Q98" s="155" t="inlineStr">
        <is>
          <t>www.quantilia.com</t>
        </is>
      </c>
      <c r="R98" s="156" t="inlineStr">
        <is>
          <t/>
        </is>
      </c>
      <c r="S98" s="157" t="inlineStr">
        <is>
          <t/>
        </is>
      </c>
      <c r="T98" s="158" t="inlineStr">
        <is>
          <t/>
        </is>
      </c>
      <c r="U98" s="159" t="n">
        <v>2017.0</v>
      </c>
      <c r="V98" s="160" t="inlineStr">
        <is>
          <t/>
        </is>
      </c>
      <c r="W98" s="161" t="inlineStr">
        <is>
          <t/>
        </is>
      </c>
      <c r="X98" s="162" t="inlineStr">
        <is>
          <t/>
        </is>
      </c>
      <c r="Y98" s="163" t="inlineStr">
        <is>
          <t/>
        </is>
      </c>
      <c r="Z98" s="164" t="inlineStr">
        <is>
          <t/>
        </is>
      </c>
      <c r="AA98" s="165" t="inlineStr">
        <is>
          <t/>
        </is>
      </c>
      <c r="AB98" s="166" t="inlineStr">
        <is>
          <t/>
        </is>
      </c>
      <c r="AC98" s="167" t="inlineStr">
        <is>
          <t/>
        </is>
      </c>
      <c r="AD98" s="168" t="inlineStr">
        <is>
          <t/>
        </is>
      </c>
      <c r="AE98" s="169" t="inlineStr">
        <is>
          <t>172527-13P</t>
        </is>
      </c>
      <c r="AF98" s="170" t="inlineStr">
        <is>
          <t>Florian Garivier</t>
        </is>
      </c>
      <c r="AG98" s="171" t="inlineStr">
        <is>
          <t>Chief Executive Officer &amp; Co-Founder</t>
        </is>
      </c>
      <c r="AH98" s="172" t="inlineStr">
        <is>
          <t>fgarivier@quantilia.com</t>
        </is>
      </c>
      <c r="AI98" s="173" t="inlineStr">
        <is>
          <t/>
        </is>
      </c>
      <c r="AJ98" s="174" t="inlineStr">
        <is>
          <t>Nice, France</t>
        </is>
      </c>
      <c r="AK98" s="175" t="inlineStr">
        <is>
          <t>71 boulevard de Cimiez</t>
        </is>
      </c>
      <c r="AL98" s="176" t="inlineStr">
        <is>
          <t/>
        </is>
      </c>
      <c r="AM98" s="177" t="inlineStr">
        <is>
          <t>Nice</t>
        </is>
      </c>
      <c r="AN98" s="178" t="inlineStr">
        <is>
          <t/>
        </is>
      </c>
      <c r="AO98" s="179" t="inlineStr">
        <is>
          <t>06000</t>
        </is>
      </c>
      <c r="AP98" s="180" t="inlineStr">
        <is>
          <t>France</t>
        </is>
      </c>
      <c r="AQ98" s="181" t="inlineStr">
        <is>
          <t/>
        </is>
      </c>
      <c r="AR98" s="182" t="inlineStr">
        <is>
          <t/>
        </is>
      </c>
      <c r="AS98" s="183" t="inlineStr">
        <is>
          <t>contact@quantilia.com</t>
        </is>
      </c>
      <c r="AT98" s="184" t="inlineStr">
        <is>
          <t>Europe</t>
        </is>
      </c>
      <c r="AU98" s="185" t="inlineStr">
        <is>
          <t>Western Europe</t>
        </is>
      </c>
      <c r="AV98" s="186" t="inlineStr">
        <is>
          <t>The company raised EUR 2 million of venture funding in a deal led by Serena Capital and Bpifrance on September 18, 2017. Other undisclosed investors also participated in this round.</t>
        </is>
      </c>
      <c r="AW98" s="187" t="inlineStr">
        <is>
          <t>Allianz France, Bpifrance, Serena Capital</t>
        </is>
      </c>
      <c r="AX98" s="188" t="n">
        <v>3.0</v>
      </c>
      <c r="AY98" s="189" t="inlineStr">
        <is>
          <t/>
        </is>
      </c>
      <c r="AZ98" s="190" t="inlineStr">
        <is>
          <t/>
        </is>
      </c>
      <c r="BA98" s="191" t="inlineStr">
        <is>
          <t/>
        </is>
      </c>
      <c r="BB98" s="192" t="inlineStr">
        <is>
          <t>Allianz France (www.allianz.fr), Bpifrance (www.bpifrance.fr), Serena Capital (www.serenacapital.com)</t>
        </is>
      </c>
      <c r="BC98" s="193" t="inlineStr">
        <is>
          <t/>
        </is>
      </c>
      <c r="BD98" s="194" t="inlineStr">
        <is>
          <t/>
        </is>
      </c>
      <c r="BE98" s="195" t="inlineStr">
        <is>
          <t/>
        </is>
      </c>
      <c r="BF98" s="196" t="inlineStr">
        <is>
          <t/>
        </is>
      </c>
      <c r="BG98" s="197" t="inlineStr">
        <is>
          <t/>
        </is>
      </c>
      <c r="BH98" s="198" t="inlineStr">
        <is>
          <t/>
        </is>
      </c>
      <c r="BI98" s="199" t="inlineStr">
        <is>
          <t/>
        </is>
      </c>
      <c r="BJ98" s="200" t="inlineStr">
        <is>
          <t/>
        </is>
      </c>
      <c r="BK98" s="201" t="inlineStr">
        <is>
          <t/>
        </is>
      </c>
      <c r="BL98" s="202" t="inlineStr">
        <is>
          <t>Accelerator/Incubator</t>
        </is>
      </c>
      <c r="BM98" s="203" t="inlineStr">
        <is>
          <t/>
        </is>
      </c>
      <c r="BN98" s="204" t="inlineStr">
        <is>
          <t/>
        </is>
      </c>
      <c r="BO98" s="205" t="inlineStr">
        <is>
          <t>Other</t>
        </is>
      </c>
      <c r="BP98" s="206" t="inlineStr">
        <is>
          <t/>
        </is>
      </c>
      <c r="BQ98" s="207" t="inlineStr">
        <is>
          <t/>
        </is>
      </c>
      <c r="BR98" s="208" t="inlineStr">
        <is>
          <t/>
        </is>
      </c>
      <c r="BS98" s="209" t="inlineStr">
        <is>
          <t>Completed</t>
        </is>
      </c>
      <c r="BT98" s="210" t="n">
        <v>42996.0</v>
      </c>
      <c r="BU98" s="211" t="n">
        <v>2.0</v>
      </c>
      <c r="BV98" s="212" t="inlineStr">
        <is>
          <t>Actual</t>
        </is>
      </c>
      <c r="BW98" s="213" t="inlineStr">
        <is>
          <t/>
        </is>
      </c>
      <c r="BX98" s="214" t="inlineStr">
        <is>
          <t/>
        </is>
      </c>
      <c r="BY98" s="215" t="inlineStr">
        <is>
          <t>Early Stage VC</t>
        </is>
      </c>
      <c r="BZ98" s="216" t="inlineStr">
        <is>
          <t/>
        </is>
      </c>
      <c r="CA98" s="217" t="inlineStr">
        <is>
          <t/>
        </is>
      </c>
      <c r="CB98" s="218" t="inlineStr">
        <is>
          <t>Venture Capital</t>
        </is>
      </c>
      <c r="CC98" s="219" t="inlineStr">
        <is>
          <t/>
        </is>
      </c>
      <c r="CD98" s="220" t="inlineStr">
        <is>
          <t/>
        </is>
      </c>
      <c r="CE98" s="221" t="inlineStr">
        <is>
          <t/>
        </is>
      </c>
      <c r="CF98" s="222" t="inlineStr">
        <is>
          <t>Completed</t>
        </is>
      </c>
      <c r="CG98" s="223" t="inlineStr">
        <is>
          <t>-0,15%</t>
        </is>
      </c>
      <c r="CH98" s="224" t="inlineStr">
        <is>
          <t>24</t>
        </is>
      </c>
      <c r="CI98" s="225" t="inlineStr">
        <is>
          <t/>
        </is>
      </c>
      <c r="CJ98" s="226" t="inlineStr">
        <is>
          <t/>
        </is>
      </c>
      <c r="CK98" s="227" t="inlineStr">
        <is>
          <t/>
        </is>
      </c>
      <c r="CL98" s="228" t="inlineStr">
        <is>
          <t/>
        </is>
      </c>
      <c r="CM98" s="229" t="inlineStr">
        <is>
          <t>-0,15%</t>
        </is>
      </c>
      <c r="CN98" s="230" t="inlineStr">
        <is>
          <t>2</t>
        </is>
      </c>
      <c r="CO98" s="231" t="inlineStr">
        <is>
          <t/>
        </is>
      </c>
      <c r="CP98" s="232" t="inlineStr">
        <is>
          <t/>
        </is>
      </c>
      <c r="CQ98" s="233" t="inlineStr">
        <is>
          <t/>
        </is>
      </c>
      <c r="CR98" s="234" t="inlineStr">
        <is>
          <t/>
        </is>
      </c>
      <c r="CS98" s="235" t="inlineStr">
        <is>
          <t/>
        </is>
      </c>
      <c r="CT98" s="236" t="inlineStr">
        <is>
          <t/>
        </is>
      </c>
      <c r="CU98" s="237" t="inlineStr">
        <is>
          <t>-0,15%</t>
        </is>
      </c>
      <c r="CV98" s="238" t="inlineStr">
        <is>
          <t>5</t>
        </is>
      </c>
      <c r="CW98" s="239" t="inlineStr">
        <is>
          <t>3,18x</t>
        </is>
      </c>
      <c r="CX98" s="240" t="inlineStr">
        <is>
          <t>73</t>
        </is>
      </c>
      <c r="CY98" s="241" t="inlineStr">
        <is>
          <t/>
        </is>
      </c>
      <c r="CZ98" s="242" t="inlineStr">
        <is>
          <t/>
        </is>
      </c>
      <c r="DA98" s="243" t="inlineStr">
        <is>
          <t/>
        </is>
      </c>
      <c r="DB98" s="244" t="inlineStr">
        <is>
          <t/>
        </is>
      </c>
      <c r="DC98" s="245" t="inlineStr">
        <is>
          <t>3,18x</t>
        </is>
      </c>
      <c r="DD98" s="246" t="inlineStr">
        <is>
          <t>70</t>
        </is>
      </c>
      <c r="DE98" s="247" t="inlineStr">
        <is>
          <t/>
        </is>
      </c>
      <c r="DF98" s="248" t="inlineStr">
        <is>
          <t/>
        </is>
      </c>
      <c r="DG98" s="249" t="inlineStr">
        <is>
          <t/>
        </is>
      </c>
      <c r="DH98" s="250" t="inlineStr">
        <is>
          <t/>
        </is>
      </c>
      <c r="DI98" s="251" t="inlineStr">
        <is>
          <t/>
        </is>
      </c>
      <c r="DJ98" s="252" t="inlineStr">
        <is>
          <t/>
        </is>
      </c>
      <c r="DK98" s="253" t="inlineStr">
        <is>
          <t>3,18x</t>
        </is>
      </c>
      <c r="DL98" s="254" t="inlineStr">
        <is>
          <t>72</t>
        </is>
      </c>
      <c r="DM98" s="255" t="inlineStr">
        <is>
          <t/>
        </is>
      </c>
      <c r="DN98" s="256" t="inlineStr">
        <is>
          <t/>
        </is>
      </c>
      <c r="DO98" s="257" t="inlineStr">
        <is>
          <t/>
        </is>
      </c>
      <c r="DP98" s="258" t="inlineStr">
        <is>
          <t/>
        </is>
      </c>
      <c r="DQ98" s="259" t="inlineStr">
        <is>
          <t/>
        </is>
      </c>
      <c r="DR98" s="260" t="inlineStr">
        <is>
          <t/>
        </is>
      </c>
      <c r="DS98" s="261" t="inlineStr">
        <is>
          <t>21</t>
        </is>
      </c>
      <c r="DT98" s="262" t="inlineStr">
        <is>
          <t>4</t>
        </is>
      </c>
      <c r="DU98" s="263" t="inlineStr">
        <is>
          <t>23,53%</t>
        </is>
      </c>
      <c r="DV98" s="264" t="inlineStr">
        <is>
          <t>1.193</t>
        </is>
      </c>
      <c r="DW98" s="265" t="inlineStr">
        <is>
          <t>-7</t>
        </is>
      </c>
      <c r="DX98" s="266" t="inlineStr">
        <is>
          <t>-0,58%</t>
        </is>
      </c>
      <c r="DY98" s="267" t="inlineStr">
        <is>
          <t>PitchBook Research</t>
        </is>
      </c>
      <c r="DZ98" s="786">
        <f>HYPERLINK("https://my.pitchbook.com?c=188038-81", "View company online")</f>
      </c>
    </row>
    <row r="99">
      <c r="A99" s="9" t="inlineStr">
        <is>
          <t>101528-20</t>
        </is>
      </c>
      <c r="B99" s="10" t="inlineStr">
        <is>
          <t>FeetMe</t>
        </is>
      </c>
      <c r="C99" s="11" t="inlineStr">
        <is>
          <t/>
        </is>
      </c>
      <c r="D99" s="12" t="inlineStr">
        <is>
          <t/>
        </is>
      </c>
      <c r="E99" s="13" t="inlineStr">
        <is>
          <t>101528-20</t>
        </is>
      </c>
      <c r="F99" s="14" t="inlineStr">
        <is>
          <t>Provider of smart and connected insoles designed for improved running, walking and gait analysis. The company's smart and connected insoles combine pressure sensors, motion sensors and learning algorithms to analyze patients' functional capacity, as well as empower rehabilitation among sufferers of gait disorders, enabling diabetic patient suffering from neuropathy to take care of their foot.</t>
        </is>
      </c>
      <c r="G99" s="15" t="inlineStr">
        <is>
          <t>Healthcare</t>
        </is>
      </c>
      <c r="H99" s="16" t="inlineStr">
        <is>
          <t>Healthcare Devices and Supplies</t>
        </is>
      </c>
      <c r="I99" s="17" t="inlineStr">
        <is>
          <t>Monitoring Equipment</t>
        </is>
      </c>
      <c r="J99" s="18" t="inlineStr">
        <is>
          <t>Monitoring Equipment*; Therapeutic Devices; Other Healthcare Technology Systems</t>
        </is>
      </c>
      <c r="K99" s="19" t="inlineStr">
        <is>
          <t>HealthTech, Mobile</t>
        </is>
      </c>
      <c r="L99" s="20" t="inlineStr">
        <is>
          <t>Venture Capital-Backed</t>
        </is>
      </c>
      <c r="M99" s="21" t="n">
        <v>2.02</v>
      </c>
      <c r="N99" s="22" t="inlineStr">
        <is>
          <t>Generating Revenue</t>
        </is>
      </c>
      <c r="O99" s="23" t="inlineStr">
        <is>
          <t>Privately Held (backing)</t>
        </is>
      </c>
      <c r="P99" s="24" t="inlineStr">
        <is>
          <t>Venture Capital</t>
        </is>
      </c>
      <c r="Q99" s="25" t="inlineStr">
        <is>
          <t>www.feetme.fr</t>
        </is>
      </c>
      <c r="R99" s="26" t="n">
        <v>5.0</v>
      </c>
      <c r="S99" s="27" t="inlineStr">
        <is>
          <t/>
        </is>
      </c>
      <c r="T99" s="28" t="inlineStr">
        <is>
          <t/>
        </is>
      </c>
      <c r="U99" s="29" t="n">
        <v>2013.0</v>
      </c>
      <c r="V99" s="30" t="inlineStr">
        <is>
          <t/>
        </is>
      </c>
      <c r="W99" s="31" t="inlineStr">
        <is>
          <t/>
        </is>
      </c>
      <c r="X99" s="32" t="inlineStr">
        <is>
          <t/>
        </is>
      </c>
      <c r="Y99" s="33" t="n">
        <v>0.00812</v>
      </c>
      <c r="Z99" s="34" t="inlineStr">
        <is>
          <t/>
        </is>
      </c>
      <c r="AA99" s="35" t="n">
        <v>-0.01623</v>
      </c>
      <c r="AB99" s="36" t="inlineStr">
        <is>
          <t/>
        </is>
      </c>
      <c r="AC99" s="37" t="inlineStr">
        <is>
          <t/>
        </is>
      </c>
      <c r="AD99" s="38" t="inlineStr">
        <is>
          <t>FY 2014</t>
        </is>
      </c>
      <c r="AE99" s="39" t="inlineStr">
        <is>
          <t>92696-50P</t>
        </is>
      </c>
      <c r="AF99" s="40" t="inlineStr">
        <is>
          <t>Alexis Mathieu</t>
        </is>
      </c>
      <c r="AG99" s="41" t="inlineStr">
        <is>
          <t>Co-Founder &amp; Chief Executive Officer</t>
        </is>
      </c>
      <c r="AH99" s="42" t="inlineStr">
        <is>
          <t>alexis.mathieu@feetme.fr</t>
        </is>
      </c>
      <c r="AI99" s="43" t="inlineStr">
        <is>
          <t>+33 (0)6 70 62 02 08</t>
        </is>
      </c>
      <c r="AJ99" s="44" t="inlineStr">
        <is>
          <t>Paris, France</t>
        </is>
      </c>
      <c r="AK99" s="45" t="inlineStr">
        <is>
          <t>23, rue des réservoirs</t>
        </is>
      </c>
      <c r="AL99" s="46" t="inlineStr">
        <is>
          <t>Versailles</t>
        </is>
      </c>
      <c r="AM99" s="47" t="inlineStr">
        <is>
          <t>Paris</t>
        </is>
      </c>
      <c r="AN99" s="48" t="inlineStr">
        <is>
          <t/>
        </is>
      </c>
      <c r="AO99" s="49" t="inlineStr">
        <is>
          <t>78000</t>
        </is>
      </c>
      <c r="AP99" s="50" t="inlineStr">
        <is>
          <t>France</t>
        </is>
      </c>
      <c r="AQ99" s="51" t="inlineStr">
        <is>
          <t>+33 (0)6 70 62 02 08</t>
        </is>
      </c>
      <c r="AR99" s="52" t="inlineStr">
        <is>
          <t/>
        </is>
      </c>
      <c r="AS99" s="53" t="inlineStr">
        <is>
          <t>contact@feetme.fr</t>
        </is>
      </c>
      <c r="AT99" s="54" t="inlineStr">
        <is>
          <t>Europe</t>
        </is>
      </c>
      <c r="AU99" s="55" t="inlineStr">
        <is>
          <t>Western Europe</t>
        </is>
      </c>
      <c r="AV99" s="56" t="inlineStr">
        <is>
          <t>The company raised EUR 1.95 million of seed funding in a deal led by Kurma Partners on October 30, 2017. Paris-Saclay Seed Fund, IdInvest Partners, Seventure Partners and SOSV also participated in this round. The company intends to use the funds to pursue the development of its product to target therapeutics areas in collaboration with market players.</t>
        </is>
      </c>
      <c r="AW99" s="57" t="inlineStr">
        <is>
          <t>Agoranov, Founder.org, IdInvest Partners, Kurma Partners, Paris-Saclay Seed Fund, Seventure Partners, SOSV</t>
        </is>
      </c>
      <c r="AX99" s="58" t="n">
        <v>7.0</v>
      </c>
      <c r="AY99" s="59" t="inlineStr">
        <is>
          <t/>
        </is>
      </c>
      <c r="AZ99" s="60" t="inlineStr">
        <is>
          <t/>
        </is>
      </c>
      <c r="BA99" s="61" t="inlineStr">
        <is>
          <t/>
        </is>
      </c>
      <c r="BB99" s="62" t="inlineStr">
        <is>
          <t>Agoranov (www.agoranov.com), Founder.org (www.founder.org), IdInvest Partners (www.idinvest.com), Kurma Partners (www.kurmapartners.com), Paris-Saclay Seed Fund (www.seedfund.parissaclay.com), Seventure Partners (www.seventure.fr), SOSV (www.sosv.com)</t>
        </is>
      </c>
      <c r="BC99" s="63" t="inlineStr">
        <is>
          <t/>
        </is>
      </c>
      <c r="BD99" s="64" t="inlineStr">
        <is>
          <t/>
        </is>
      </c>
      <c r="BE99" s="65" t="inlineStr">
        <is>
          <t/>
        </is>
      </c>
      <c r="BF99" s="66" t="inlineStr">
        <is>
          <t/>
        </is>
      </c>
      <c r="BG99" s="67" t="inlineStr">
        <is>
          <t/>
        </is>
      </c>
      <c r="BH99" s="68" t="inlineStr">
        <is>
          <t/>
        </is>
      </c>
      <c r="BI99" s="69" t="inlineStr">
        <is>
          <t/>
        </is>
      </c>
      <c r="BJ99" s="70" t="inlineStr">
        <is>
          <t/>
        </is>
      </c>
      <c r="BK99" s="71" t="inlineStr">
        <is>
          <t/>
        </is>
      </c>
      <c r="BL99" s="72" t="inlineStr">
        <is>
          <t>Accelerator/Incubator</t>
        </is>
      </c>
      <c r="BM99" s="73" t="inlineStr">
        <is>
          <t/>
        </is>
      </c>
      <c r="BN99" s="74" t="inlineStr">
        <is>
          <t/>
        </is>
      </c>
      <c r="BO99" s="75" t="inlineStr">
        <is>
          <t>Venture Capital</t>
        </is>
      </c>
      <c r="BP99" s="76" t="inlineStr">
        <is>
          <t/>
        </is>
      </c>
      <c r="BQ99" s="77" t="inlineStr">
        <is>
          <t/>
        </is>
      </c>
      <c r="BR99" s="78" t="inlineStr">
        <is>
          <t/>
        </is>
      </c>
      <c r="BS99" s="79" t="inlineStr">
        <is>
          <t>Completed</t>
        </is>
      </c>
      <c r="BT99" s="80" t="n">
        <v>43038.0</v>
      </c>
      <c r="BU99" s="81" t="n">
        <v>1.95</v>
      </c>
      <c r="BV99" s="82" t="inlineStr">
        <is>
          <t>Actual</t>
        </is>
      </c>
      <c r="BW99" s="83" t="inlineStr">
        <is>
          <t/>
        </is>
      </c>
      <c r="BX99" s="84" t="inlineStr">
        <is>
          <t/>
        </is>
      </c>
      <c r="BY99" s="85" t="inlineStr">
        <is>
          <t>Seed Round</t>
        </is>
      </c>
      <c r="BZ99" s="86" t="inlineStr">
        <is>
          <t>Seed</t>
        </is>
      </c>
      <c r="CA99" s="87" t="inlineStr">
        <is>
          <t/>
        </is>
      </c>
      <c r="CB99" s="88" t="inlineStr">
        <is>
          <t>Venture Capital</t>
        </is>
      </c>
      <c r="CC99" s="89" t="inlineStr">
        <is>
          <t/>
        </is>
      </c>
      <c r="CD99" s="90" t="inlineStr">
        <is>
          <t/>
        </is>
      </c>
      <c r="CE99" s="91" t="inlineStr">
        <is>
          <t/>
        </is>
      </c>
      <c r="CF99" s="92" t="inlineStr">
        <is>
          <t>Completed</t>
        </is>
      </c>
      <c r="CG99" s="93" t="inlineStr">
        <is>
          <t>0,16%</t>
        </is>
      </c>
      <c r="CH99" s="94" t="inlineStr">
        <is>
          <t>85</t>
        </is>
      </c>
      <c r="CI99" s="95" t="inlineStr">
        <is>
          <t>-0,16%</t>
        </is>
      </c>
      <c r="CJ99" s="96" t="inlineStr">
        <is>
          <t>-49,22%</t>
        </is>
      </c>
      <c r="CK99" s="97" t="inlineStr">
        <is>
          <t>-0,14%</t>
        </is>
      </c>
      <c r="CL99" s="98" t="inlineStr">
        <is>
          <t>27</t>
        </is>
      </c>
      <c r="CM99" s="99" t="inlineStr">
        <is>
          <t>0,47%</t>
        </is>
      </c>
      <c r="CN99" s="100" t="inlineStr">
        <is>
          <t>88</t>
        </is>
      </c>
      <c r="CO99" s="101" t="inlineStr">
        <is>
          <t>0,01%</t>
        </is>
      </c>
      <c r="CP99" s="102" t="inlineStr">
        <is>
          <t>90</t>
        </is>
      </c>
      <c r="CQ99" s="103" t="inlineStr">
        <is>
          <t>-0,29%</t>
        </is>
      </c>
      <c r="CR99" s="104" t="inlineStr">
        <is>
          <t>18</t>
        </is>
      </c>
      <c r="CS99" s="105" t="inlineStr">
        <is>
          <t>0,41%</t>
        </is>
      </c>
      <c r="CT99" s="106" t="inlineStr">
        <is>
          <t>84</t>
        </is>
      </c>
      <c r="CU99" s="107" t="inlineStr">
        <is>
          <t>0,53%</t>
        </is>
      </c>
      <c r="CV99" s="108" t="inlineStr">
        <is>
          <t>92</t>
        </is>
      </c>
      <c r="CW99" s="109" t="inlineStr">
        <is>
          <t>1,67x</t>
        </is>
      </c>
      <c r="CX99" s="110" t="inlineStr">
        <is>
          <t>61</t>
        </is>
      </c>
      <c r="CY99" s="111" t="inlineStr">
        <is>
          <t>-0,01x</t>
        </is>
      </c>
      <c r="CZ99" s="112" t="inlineStr">
        <is>
          <t>-0,73%</t>
        </is>
      </c>
      <c r="DA99" s="113" t="inlineStr">
        <is>
          <t>1,92x</t>
        </is>
      </c>
      <c r="DB99" s="114" t="inlineStr">
        <is>
          <t>66</t>
        </is>
      </c>
      <c r="DC99" s="115" t="inlineStr">
        <is>
          <t>1,42x</t>
        </is>
      </c>
      <c r="DD99" s="116" t="inlineStr">
        <is>
          <t>55</t>
        </is>
      </c>
      <c r="DE99" s="117" t="inlineStr">
        <is>
          <t>0,36x</t>
        </is>
      </c>
      <c r="DF99" s="118" t="inlineStr">
        <is>
          <t>26</t>
        </is>
      </c>
      <c r="DG99" s="119" t="inlineStr">
        <is>
          <t>3,47x</t>
        </is>
      </c>
      <c r="DH99" s="120" t="inlineStr">
        <is>
          <t>74</t>
        </is>
      </c>
      <c r="DI99" s="121" t="inlineStr">
        <is>
          <t>0,75x</t>
        </is>
      </c>
      <c r="DJ99" s="122" t="inlineStr">
        <is>
          <t>46</t>
        </is>
      </c>
      <c r="DK99" s="123" t="inlineStr">
        <is>
          <t>2,09x</t>
        </is>
      </c>
      <c r="DL99" s="124" t="inlineStr">
        <is>
          <t>64</t>
        </is>
      </c>
      <c r="DM99" s="125" t="inlineStr">
        <is>
          <t>194</t>
        </is>
      </c>
      <c r="DN99" s="126" t="inlineStr">
        <is>
          <t>-183</t>
        </is>
      </c>
      <c r="DO99" s="127" t="inlineStr">
        <is>
          <t>-48,54%</t>
        </is>
      </c>
      <c r="DP99" s="128" t="inlineStr">
        <is>
          <t>592</t>
        </is>
      </c>
      <c r="DQ99" s="129" t="inlineStr">
        <is>
          <t>0</t>
        </is>
      </c>
      <c r="DR99" s="130" t="inlineStr">
        <is>
          <t>0,00%</t>
        </is>
      </c>
      <c r="DS99" s="131" t="inlineStr">
        <is>
          <t>125</t>
        </is>
      </c>
      <c r="DT99" s="132" t="inlineStr">
        <is>
          <t>-1</t>
        </is>
      </c>
      <c r="DU99" s="133" t="inlineStr">
        <is>
          <t>-0,79%</t>
        </is>
      </c>
      <c r="DV99" s="134" t="inlineStr">
        <is>
          <t>779</t>
        </is>
      </c>
      <c r="DW99" s="135" t="inlineStr">
        <is>
          <t>0</t>
        </is>
      </c>
      <c r="DX99" s="136" t="inlineStr">
        <is>
          <t>0,00%</t>
        </is>
      </c>
      <c r="DY99" s="137" t="inlineStr">
        <is>
          <t>PitchBook Research</t>
        </is>
      </c>
      <c r="DZ99" s="785">
        <f>HYPERLINK("https://my.pitchbook.com?c=101528-20", "View company online")</f>
      </c>
    </row>
    <row r="100">
      <c r="A100" s="139" t="inlineStr">
        <is>
          <t>221715-28</t>
        </is>
      </c>
      <c r="B100" s="140" t="inlineStr">
        <is>
          <t>Pollen Metrology</t>
        </is>
      </c>
      <c r="C100" s="141" t="inlineStr">
        <is>
          <t/>
        </is>
      </c>
      <c r="D100" s="142" t="inlineStr">
        <is>
          <t/>
        </is>
      </c>
      <c r="E100" s="143" t="inlineStr">
        <is>
          <t>221715-28</t>
        </is>
      </c>
      <c r="F100" s="144" t="inlineStr">
        <is>
          <t>Developer of software editor specialized in metrology data analysis for nanomaterials created to revolutionize nanotechnologies with artificial intelligence. The company's smart process-control, Platypus accelerate the manufacturing of high-performing materials. It improves manufacturing yields, drastically reduces research and development (R&amp;D) costs, hastens the development of new processes, and tracks defects from the early R&amp;D stages to high-volume manufacturing.</t>
        </is>
      </c>
      <c r="G100" s="145" t="inlineStr">
        <is>
          <t>Information Technology</t>
        </is>
      </c>
      <c r="H100" s="146" t="inlineStr">
        <is>
          <t>Software</t>
        </is>
      </c>
      <c r="I100" s="147" t="inlineStr">
        <is>
          <t>Application Software</t>
        </is>
      </c>
      <c r="J100" s="148" t="inlineStr">
        <is>
          <t>Application Software*; Business/Productivity Software</t>
        </is>
      </c>
      <c r="K100" s="149" t="inlineStr">
        <is>
          <t>Artificial Intelligence &amp; Machine Learning, Manufacturing, Nanotechnology</t>
        </is>
      </c>
      <c r="L100" s="150" t="inlineStr">
        <is>
          <t>Venture Capital-Backed</t>
        </is>
      </c>
      <c r="M100" s="151" t="n">
        <v>2.04</v>
      </c>
      <c r="N100" s="152" t="inlineStr">
        <is>
          <t>Generating Revenue</t>
        </is>
      </c>
      <c r="O100" s="153" t="inlineStr">
        <is>
          <t>Privately Held (backing)</t>
        </is>
      </c>
      <c r="P100" s="154" t="inlineStr">
        <is>
          <t>Venture Capital</t>
        </is>
      </c>
      <c r="Q100" s="155" t="inlineStr">
        <is>
          <t>www.pollen-metrology.com</t>
        </is>
      </c>
      <c r="R100" s="156" t="n">
        <v>2.0</v>
      </c>
      <c r="S100" s="157" t="inlineStr">
        <is>
          <t/>
        </is>
      </c>
      <c r="T100" s="158" t="inlineStr">
        <is>
          <t/>
        </is>
      </c>
      <c r="U100" s="159" t="n">
        <v>2014.0</v>
      </c>
      <c r="V100" s="160" t="inlineStr">
        <is>
          <t/>
        </is>
      </c>
      <c r="W100" s="161" t="inlineStr">
        <is>
          <t/>
        </is>
      </c>
      <c r="X100" s="162" t="inlineStr">
        <is>
          <t/>
        </is>
      </c>
      <c r="Y100" s="163" t="n">
        <v>0.0735</v>
      </c>
      <c r="Z100" s="164" t="inlineStr">
        <is>
          <t/>
        </is>
      </c>
      <c r="AA100" s="165" t="n">
        <v>0.01837</v>
      </c>
      <c r="AB100" s="166" t="inlineStr">
        <is>
          <t/>
        </is>
      </c>
      <c r="AC100" s="167" t="inlineStr">
        <is>
          <t/>
        </is>
      </c>
      <c r="AD100" s="168" t="inlineStr">
        <is>
          <t>FY 2015</t>
        </is>
      </c>
      <c r="AE100" s="169" t="inlineStr">
        <is>
          <t>173274-49P</t>
        </is>
      </c>
      <c r="AF100" s="170" t="inlineStr">
        <is>
          <t>Johann Foucher</t>
        </is>
      </c>
      <c r="AG100" s="171" t="inlineStr">
        <is>
          <t>Co-Founder, Chief Executive Officer &amp; Chairman</t>
        </is>
      </c>
      <c r="AH100" s="172" t="inlineStr">
        <is>
          <t>johann@pollen-metrology.com</t>
        </is>
      </c>
      <c r="AI100" s="173" t="inlineStr">
        <is>
          <t>+33 (0)6 62 53 77 89</t>
        </is>
      </c>
      <c r="AJ100" s="174" t="inlineStr">
        <is>
          <t>Moirans, France</t>
        </is>
      </c>
      <c r="AK100" s="175" t="inlineStr">
        <is>
          <t>9 Rue du Rocher de Lorzier</t>
        </is>
      </c>
      <c r="AL100" s="176" t="inlineStr">
        <is>
          <t/>
        </is>
      </c>
      <c r="AM100" s="177" t="inlineStr">
        <is>
          <t>Moirans</t>
        </is>
      </c>
      <c r="AN100" s="178" t="inlineStr">
        <is>
          <t/>
        </is>
      </c>
      <c r="AO100" s="179" t="inlineStr">
        <is>
          <t>38430</t>
        </is>
      </c>
      <c r="AP100" s="180" t="inlineStr">
        <is>
          <t>France</t>
        </is>
      </c>
      <c r="AQ100" s="181" t="inlineStr">
        <is>
          <t/>
        </is>
      </c>
      <c r="AR100" s="182" t="inlineStr">
        <is>
          <t/>
        </is>
      </c>
      <c r="AS100" s="183" t="inlineStr">
        <is>
          <t/>
        </is>
      </c>
      <c r="AT100" s="184" t="inlineStr">
        <is>
          <t>Europe</t>
        </is>
      </c>
      <c r="AU100" s="185" t="inlineStr">
        <is>
          <t>Western Europe</t>
        </is>
      </c>
      <c r="AV100" s="186" t="inlineStr">
        <is>
          <t>The company raised $2.4 million of venture funding from XAnge and KREAXI on October 25, 2017. The funds will be used to accelerate the manufacturing of nano materials, roadmap its software and expand foothold in Asia and in the U.S.</t>
        </is>
      </c>
      <c r="AW100" s="187" t="inlineStr">
        <is>
          <t>Kreaxi, XAnge Private Equity</t>
        </is>
      </c>
      <c r="AX100" s="188" t="n">
        <v>2.0</v>
      </c>
      <c r="AY100" s="189" t="inlineStr">
        <is>
          <t/>
        </is>
      </c>
      <c r="AZ100" s="190" t="inlineStr">
        <is>
          <t/>
        </is>
      </c>
      <c r="BA100" s="191" t="inlineStr">
        <is>
          <t/>
        </is>
      </c>
      <c r="BB100" s="192" t="inlineStr">
        <is>
          <t>Kreaxi (www.kreaxi.com), XAnge Private Equity (www.xange.fr)</t>
        </is>
      </c>
      <c r="BC100" s="193" t="inlineStr">
        <is>
          <t/>
        </is>
      </c>
      <c r="BD100" s="194" t="inlineStr">
        <is>
          <t/>
        </is>
      </c>
      <c r="BE100" s="195" t="inlineStr">
        <is>
          <t/>
        </is>
      </c>
      <c r="BF100" s="196" t="inlineStr">
        <is>
          <t/>
        </is>
      </c>
      <c r="BG100" s="197" t="n">
        <v>43033.0</v>
      </c>
      <c r="BH100" s="198" t="n">
        <v>2.04</v>
      </c>
      <c r="BI100" s="199" t="inlineStr">
        <is>
          <t>Actual</t>
        </is>
      </c>
      <c r="BJ100" s="200" t="inlineStr">
        <is>
          <t/>
        </is>
      </c>
      <c r="BK100" s="201" t="inlineStr">
        <is>
          <t/>
        </is>
      </c>
      <c r="BL100" s="202" t="inlineStr">
        <is>
          <t>Early Stage VC</t>
        </is>
      </c>
      <c r="BM100" s="203" t="inlineStr">
        <is>
          <t/>
        </is>
      </c>
      <c r="BN100" s="204" t="inlineStr">
        <is>
          <t/>
        </is>
      </c>
      <c r="BO100" s="205" t="inlineStr">
        <is>
          <t>Venture Capital</t>
        </is>
      </c>
      <c r="BP100" s="206" t="inlineStr">
        <is>
          <t/>
        </is>
      </c>
      <c r="BQ100" s="207" t="inlineStr">
        <is>
          <t/>
        </is>
      </c>
      <c r="BR100" s="208" t="inlineStr">
        <is>
          <t/>
        </is>
      </c>
      <c r="BS100" s="209" t="inlineStr">
        <is>
          <t>Completed</t>
        </is>
      </c>
      <c r="BT100" s="210" t="n">
        <v>43033.0</v>
      </c>
      <c r="BU100" s="211" t="n">
        <v>2.04</v>
      </c>
      <c r="BV100" s="212" t="inlineStr">
        <is>
          <t>Actual</t>
        </is>
      </c>
      <c r="BW100" s="213" t="inlineStr">
        <is>
          <t/>
        </is>
      </c>
      <c r="BX100" s="214" t="inlineStr">
        <is>
          <t/>
        </is>
      </c>
      <c r="BY100" s="215" t="inlineStr">
        <is>
          <t>Early Stage VC</t>
        </is>
      </c>
      <c r="BZ100" s="216" t="inlineStr">
        <is>
          <t/>
        </is>
      </c>
      <c r="CA100" s="217" t="inlineStr">
        <is>
          <t/>
        </is>
      </c>
      <c r="CB100" s="218" t="inlineStr">
        <is>
          <t>Venture Capital</t>
        </is>
      </c>
      <c r="CC100" s="219" t="inlineStr">
        <is>
          <t/>
        </is>
      </c>
      <c r="CD100" s="220" t="inlineStr">
        <is>
          <t/>
        </is>
      </c>
      <c r="CE100" s="221" t="inlineStr">
        <is>
          <t/>
        </is>
      </c>
      <c r="CF100" s="222" t="inlineStr">
        <is>
          <t>Completed</t>
        </is>
      </c>
      <c r="CG100" s="223" t="inlineStr">
        <is>
          <t/>
        </is>
      </c>
      <c r="CH100" s="224" t="inlineStr">
        <is>
          <t/>
        </is>
      </c>
      <c r="CI100" s="225" t="inlineStr">
        <is>
          <t/>
        </is>
      </c>
      <c r="CJ100" s="226" t="inlineStr">
        <is>
          <t/>
        </is>
      </c>
      <c r="CK100" s="227" t="inlineStr">
        <is>
          <t/>
        </is>
      </c>
      <c r="CL100" s="228" t="inlineStr">
        <is>
          <t/>
        </is>
      </c>
      <c r="CM100" s="229" t="inlineStr">
        <is>
          <t/>
        </is>
      </c>
      <c r="CN100" s="230" t="inlineStr">
        <is>
          <t/>
        </is>
      </c>
      <c r="CO100" s="231" t="inlineStr">
        <is>
          <t/>
        </is>
      </c>
      <c r="CP100" s="232" t="inlineStr">
        <is>
          <t/>
        </is>
      </c>
      <c r="CQ100" s="233" t="inlineStr">
        <is>
          <t/>
        </is>
      </c>
      <c r="CR100" s="234" t="inlineStr">
        <is>
          <t/>
        </is>
      </c>
      <c r="CS100" s="235" t="inlineStr">
        <is>
          <t/>
        </is>
      </c>
      <c r="CT100" s="236" t="inlineStr">
        <is>
          <t/>
        </is>
      </c>
      <c r="CU100" s="237" t="inlineStr">
        <is>
          <t/>
        </is>
      </c>
      <c r="CV100" s="238" t="inlineStr">
        <is>
          <t/>
        </is>
      </c>
      <c r="CW100" s="239" t="inlineStr">
        <is>
          <t/>
        </is>
      </c>
      <c r="CX100" s="240" t="inlineStr">
        <is>
          <t/>
        </is>
      </c>
      <c r="CY100" s="241" t="inlineStr">
        <is>
          <t/>
        </is>
      </c>
      <c r="CZ100" s="242" t="inlineStr">
        <is>
          <t/>
        </is>
      </c>
      <c r="DA100" s="243" t="inlineStr">
        <is>
          <t/>
        </is>
      </c>
      <c r="DB100" s="244" t="inlineStr">
        <is>
          <t/>
        </is>
      </c>
      <c r="DC100" s="245" t="inlineStr">
        <is>
          <t/>
        </is>
      </c>
      <c r="DD100" s="246" t="inlineStr">
        <is>
          <t/>
        </is>
      </c>
      <c r="DE100" s="247" t="inlineStr">
        <is>
          <t/>
        </is>
      </c>
      <c r="DF100" s="248" t="inlineStr">
        <is>
          <t/>
        </is>
      </c>
      <c r="DG100" s="249" t="inlineStr">
        <is>
          <t/>
        </is>
      </c>
      <c r="DH100" s="250" t="inlineStr">
        <is>
          <t/>
        </is>
      </c>
      <c r="DI100" s="251" t="inlineStr">
        <is>
          <t/>
        </is>
      </c>
      <c r="DJ100" s="252" t="inlineStr">
        <is>
          <t/>
        </is>
      </c>
      <c r="DK100" s="253" t="inlineStr">
        <is>
          <t/>
        </is>
      </c>
      <c r="DL100" s="254" t="inlineStr">
        <is>
          <t/>
        </is>
      </c>
      <c r="DM100" s="255" t="inlineStr">
        <is>
          <t/>
        </is>
      </c>
      <c r="DN100" s="256" t="inlineStr">
        <is>
          <t/>
        </is>
      </c>
      <c r="DO100" s="257" t="inlineStr">
        <is>
          <t/>
        </is>
      </c>
      <c r="DP100" s="258" t="inlineStr">
        <is>
          <t/>
        </is>
      </c>
      <c r="DQ100" s="259" t="inlineStr">
        <is>
          <t/>
        </is>
      </c>
      <c r="DR100" s="260" t="inlineStr">
        <is>
          <t/>
        </is>
      </c>
      <c r="DS100" s="261" t="inlineStr">
        <is>
          <t/>
        </is>
      </c>
      <c r="DT100" s="262" t="inlineStr">
        <is>
          <t/>
        </is>
      </c>
      <c r="DU100" s="263" t="inlineStr">
        <is>
          <t/>
        </is>
      </c>
      <c r="DV100" s="264" t="inlineStr">
        <is>
          <t/>
        </is>
      </c>
      <c r="DW100" s="265" t="inlineStr">
        <is>
          <t/>
        </is>
      </c>
      <c r="DX100" s="266" t="inlineStr">
        <is>
          <t/>
        </is>
      </c>
      <c r="DY100" s="267" t="inlineStr">
        <is>
          <t>PitchBook Research</t>
        </is>
      </c>
      <c r="DZ100" s="786">
        <f>HYPERLINK("https://my.pitchbook.com?c=221715-28", "View company online")</f>
      </c>
    </row>
    <row r="101">
      <c r="A101" s="9" t="inlineStr">
        <is>
          <t>167233-42</t>
        </is>
      </c>
      <c r="B101" s="10" t="inlineStr">
        <is>
          <t>FurHat Robotics</t>
        </is>
      </c>
      <c r="C101" s="11" t="inlineStr">
        <is>
          <t/>
        </is>
      </c>
      <c r="D101" s="12" t="inlineStr">
        <is>
          <t/>
        </is>
      </c>
      <c r="E101" s="13" t="inlineStr">
        <is>
          <t>167233-42</t>
        </is>
      </c>
      <c r="F101" s="14" t="inlineStr">
        <is>
          <t>Developer of socially intelligent robots intended to mimic human personality, gesture and intonation. The company's socially intelligent robots uses computer animation and projection to create expression, while its brain is built on a social intelligence platform that can be programmed to participate in socially, enables people to interact with machines the same way we interact with each other.</t>
        </is>
      </c>
      <c r="G101" s="15" t="inlineStr">
        <is>
          <t>Information Technology</t>
        </is>
      </c>
      <c r="H101" s="16" t="inlineStr">
        <is>
          <t>Computer Hardware</t>
        </is>
      </c>
      <c r="I101" s="17" t="inlineStr">
        <is>
          <t>Computers, Parts and Peripherals</t>
        </is>
      </c>
      <c r="J101" s="18" t="inlineStr">
        <is>
          <t>Computers, Parts and Peripherals*; Other Hardware; Communication Software</t>
        </is>
      </c>
      <c r="K101" s="19" t="inlineStr">
        <is>
          <t>Robotics and Drones</t>
        </is>
      </c>
      <c r="L101" s="20" t="inlineStr">
        <is>
          <t>Venture Capital-Backed</t>
        </is>
      </c>
      <c r="M101" s="21" t="n">
        <v>2.1</v>
      </c>
      <c r="N101" s="22" t="inlineStr">
        <is>
          <t>Startup</t>
        </is>
      </c>
      <c r="O101" s="23" t="inlineStr">
        <is>
          <t>Privately Held (backing)</t>
        </is>
      </c>
      <c r="P101" s="24" t="inlineStr">
        <is>
          <t>Venture Capital</t>
        </is>
      </c>
      <c r="Q101" s="25" t="inlineStr">
        <is>
          <t>www.furhatrobotics.com</t>
        </is>
      </c>
      <c r="R101" s="26" t="n">
        <v>7.0</v>
      </c>
      <c r="S101" s="27" t="inlineStr">
        <is>
          <t/>
        </is>
      </c>
      <c r="T101" s="28" t="inlineStr">
        <is>
          <t/>
        </is>
      </c>
      <c r="U101" s="29" t="n">
        <v>2013.0</v>
      </c>
      <c r="V101" s="30" t="inlineStr">
        <is>
          <t/>
        </is>
      </c>
      <c r="W101" s="31" t="inlineStr">
        <is>
          <t/>
        </is>
      </c>
      <c r="X101" s="32" t="inlineStr">
        <is>
          <r>
            <rPr>
              <b/>
              <color rgb="ff26854d"/>
              <rFont val="Arial"/>
              <sz val="8.0"/>
            </rPr>
            <t>News</t>
          </r>
          <r>
            <rPr>
              <color rgb="ff707070"/>
              <rFont val="Arial"/>
              <sz val="7.0"/>
            </rPr>
            <t xml:space="preserve"> NEW  </t>
          </r>
        </is>
      </c>
      <c r="Y101" s="33" t="n">
        <v>0.42687</v>
      </c>
      <c r="Z101" s="34" t="inlineStr">
        <is>
          <t/>
        </is>
      </c>
      <c r="AA101" s="35" t="n">
        <v>0.00949</v>
      </c>
      <c r="AB101" s="36" t="inlineStr">
        <is>
          <t/>
        </is>
      </c>
      <c r="AC101" s="37" t="n">
        <v>0.00949</v>
      </c>
      <c r="AD101" s="38" t="inlineStr">
        <is>
          <t>FY 2016</t>
        </is>
      </c>
      <c r="AE101" s="39" t="inlineStr">
        <is>
          <t>147914-74P</t>
        </is>
      </c>
      <c r="AF101" s="40" t="inlineStr">
        <is>
          <t>Samer Al Moubayed</t>
        </is>
      </c>
      <c r="AG101" s="41" t="inlineStr">
        <is>
          <t>Co-Founder &amp; Chief Executive Officer</t>
        </is>
      </c>
      <c r="AH101" s="42" t="inlineStr">
        <is>
          <t>samar@furhatrobotics.com</t>
        </is>
      </c>
      <c r="AI101" s="43" t="inlineStr">
        <is>
          <t/>
        </is>
      </c>
      <c r="AJ101" s="44" t="inlineStr">
        <is>
          <t>Stockholm, Sweden</t>
        </is>
      </c>
      <c r="AK101" s="45" t="inlineStr">
        <is>
          <t>Lindstedtsvägen 24</t>
        </is>
      </c>
      <c r="AL101" s="46" t="inlineStr">
        <is>
          <t/>
        </is>
      </c>
      <c r="AM101" s="47" t="inlineStr">
        <is>
          <t>Stockholm</t>
        </is>
      </c>
      <c r="AN101" s="48" t="inlineStr">
        <is>
          <t/>
        </is>
      </c>
      <c r="AO101" s="49" t="inlineStr">
        <is>
          <t>114 28</t>
        </is>
      </c>
      <c r="AP101" s="50" t="inlineStr">
        <is>
          <t>Sweden</t>
        </is>
      </c>
      <c r="AQ101" s="51" t="inlineStr">
        <is>
          <t/>
        </is>
      </c>
      <c r="AR101" s="52" t="inlineStr">
        <is>
          <t/>
        </is>
      </c>
      <c r="AS101" s="53" t="inlineStr">
        <is>
          <t>info@furhatrobotics.com</t>
        </is>
      </c>
      <c r="AT101" s="54" t="inlineStr">
        <is>
          <t>Europe</t>
        </is>
      </c>
      <c r="AU101" s="55" t="inlineStr">
        <is>
          <t>Northern Europe</t>
        </is>
      </c>
      <c r="AV101" s="56" t="inlineStr">
        <is>
          <t>The company raised $2.5 million of seed funding from Balderton Capital and LocalGlobe on September 14, 2017. The funds will be used in building out the technology, exploring use cases in education, therapy, customer service, entertainment and engage in substantial commercial partnerships with industry leaders that are committed to empower people to access and interact with technology and information.</t>
        </is>
      </c>
      <c r="AW101" s="57" t="inlineStr">
        <is>
          <t>Balderton Capital, EIT Digital, LocalGlobe</t>
        </is>
      </c>
      <c r="AX101" s="58" t="n">
        <v>3.0</v>
      </c>
      <c r="AY101" s="59" t="inlineStr">
        <is>
          <t/>
        </is>
      </c>
      <c r="AZ101" s="60" t="inlineStr">
        <is>
          <t/>
        </is>
      </c>
      <c r="BA101" s="61" t="inlineStr">
        <is>
          <t/>
        </is>
      </c>
      <c r="BB101" s="62" t="inlineStr">
        <is>
          <t>Balderton Capital (www.balderton.com), EIT Digital (www.eitdigital.eu), LocalGlobe (www.localglobe.vc)</t>
        </is>
      </c>
      <c r="BC101" s="63" t="inlineStr">
        <is>
          <t/>
        </is>
      </c>
      <c r="BD101" s="64" t="inlineStr">
        <is>
          <t/>
        </is>
      </c>
      <c r="BE101" s="65" t="inlineStr">
        <is>
          <t/>
        </is>
      </c>
      <c r="BF101" s="66" t="inlineStr">
        <is>
          <t/>
        </is>
      </c>
      <c r="BG101" s="67" t="n">
        <v>42622.0</v>
      </c>
      <c r="BH101" s="68" t="inlineStr">
        <is>
          <t/>
        </is>
      </c>
      <c r="BI101" s="69" t="inlineStr">
        <is>
          <t/>
        </is>
      </c>
      <c r="BJ101" s="70" t="inlineStr">
        <is>
          <t/>
        </is>
      </c>
      <c r="BK101" s="71" t="inlineStr">
        <is>
          <t/>
        </is>
      </c>
      <c r="BL101" s="72" t="inlineStr">
        <is>
          <t>Accelerator/Incubator</t>
        </is>
      </c>
      <c r="BM101" s="73" t="inlineStr">
        <is>
          <t/>
        </is>
      </c>
      <c r="BN101" s="74" t="inlineStr">
        <is>
          <t/>
        </is>
      </c>
      <c r="BO101" s="75" t="inlineStr">
        <is>
          <t>Other</t>
        </is>
      </c>
      <c r="BP101" s="76" t="inlineStr">
        <is>
          <t/>
        </is>
      </c>
      <c r="BQ101" s="77" t="inlineStr">
        <is>
          <t/>
        </is>
      </c>
      <c r="BR101" s="78" t="inlineStr">
        <is>
          <t/>
        </is>
      </c>
      <c r="BS101" s="79" t="inlineStr">
        <is>
          <t>Completed</t>
        </is>
      </c>
      <c r="BT101" s="80" t="n">
        <v>42992.0</v>
      </c>
      <c r="BU101" s="81" t="n">
        <v>2.1</v>
      </c>
      <c r="BV101" s="82" t="inlineStr">
        <is>
          <t>Actual</t>
        </is>
      </c>
      <c r="BW101" s="83" t="inlineStr">
        <is>
          <t/>
        </is>
      </c>
      <c r="BX101" s="84" t="inlineStr">
        <is>
          <t/>
        </is>
      </c>
      <c r="BY101" s="85" t="inlineStr">
        <is>
          <t>Seed Round</t>
        </is>
      </c>
      <c r="BZ101" s="86" t="inlineStr">
        <is>
          <t>Seed</t>
        </is>
      </c>
      <c r="CA101" s="87" t="inlineStr">
        <is>
          <t/>
        </is>
      </c>
      <c r="CB101" s="88" t="inlineStr">
        <is>
          <t>Venture Capital</t>
        </is>
      </c>
      <c r="CC101" s="89" t="inlineStr">
        <is>
          <t/>
        </is>
      </c>
      <c r="CD101" s="90" t="inlineStr">
        <is>
          <t/>
        </is>
      </c>
      <c r="CE101" s="91" t="inlineStr">
        <is>
          <t/>
        </is>
      </c>
      <c r="CF101" s="92" t="inlineStr">
        <is>
          <t>Completed</t>
        </is>
      </c>
      <c r="CG101" s="93" t="inlineStr">
        <is>
          <t>0,08%</t>
        </is>
      </c>
      <c r="CH101" s="94" t="inlineStr">
        <is>
          <t>81</t>
        </is>
      </c>
      <c r="CI101" s="95" t="inlineStr">
        <is>
          <t>-0,05%</t>
        </is>
      </c>
      <c r="CJ101" s="96" t="inlineStr">
        <is>
          <t>-41,15%</t>
        </is>
      </c>
      <c r="CK101" s="97" t="inlineStr">
        <is>
          <t>0,03%</t>
        </is>
      </c>
      <c r="CL101" s="98" t="inlineStr">
        <is>
          <t>91</t>
        </is>
      </c>
      <c r="CM101" s="99" t="inlineStr">
        <is>
          <t>0,12%</t>
        </is>
      </c>
      <c r="CN101" s="100" t="inlineStr">
        <is>
          <t>61</t>
        </is>
      </c>
      <c r="CO101" s="101" t="inlineStr">
        <is>
          <t>0,07%</t>
        </is>
      </c>
      <c r="CP101" s="102" t="inlineStr">
        <is>
          <t>90</t>
        </is>
      </c>
      <c r="CQ101" s="103" t="inlineStr">
        <is>
          <t>0,00%</t>
        </is>
      </c>
      <c r="CR101" s="104" t="inlineStr">
        <is>
          <t>20</t>
        </is>
      </c>
      <c r="CS101" s="105" t="inlineStr">
        <is>
          <t>0,53%</t>
        </is>
      </c>
      <c r="CT101" s="106" t="inlineStr">
        <is>
          <t>88</t>
        </is>
      </c>
      <c r="CU101" s="107" t="inlineStr">
        <is>
          <t>-0,29%</t>
        </is>
      </c>
      <c r="CV101" s="108" t="inlineStr">
        <is>
          <t>2</t>
        </is>
      </c>
      <c r="CW101" s="109" t="inlineStr">
        <is>
          <t>1,77x</t>
        </is>
      </c>
      <c r="CX101" s="110" t="inlineStr">
        <is>
          <t>62</t>
        </is>
      </c>
      <c r="CY101" s="111" t="inlineStr">
        <is>
          <t>-0,02x</t>
        </is>
      </c>
      <c r="CZ101" s="112" t="inlineStr">
        <is>
          <t>-1,39%</t>
        </is>
      </c>
      <c r="DA101" s="113" t="inlineStr">
        <is>
          <t>2,50x</t>
        </is>
      </c>
      <c r="DB101" s="114" t="inlineStr">
        <is>
          <t>71</t>
        </is>
      </c>
      <c r="DC101" s="115" t="inlineStr">
        <is>
          <t>1,04x</t>
        </is>
      </c>
      <c r="DD101" s="116" t="inlineStr">
        <is>
          <t>49</t>
        </is>
      </c>
      <c r="DE101" s="117" t="inlineStr">
        <is>
          <t>2,74x</t>
        </is>
      </c>
      <c r="DF101" s="118" t="inlineStr">
        <is>
          <t>72</t>
        </is>
      </c>
      <c r="DG101" s="119" t="inlineStr">
        <is>
          <t>2,25x</t>
        </is>
      </c>
      <c r="DH101" s="120" t="inlineStr">
        <is>
          <t>67</t>
        </is>
      </c>
      <c r="DI101" s="121" t="inlineStr">
        <is>
          <t>0,65x</t>
        </is>
      </c>
      <c r="DJ101" s="122" t="inlineStr">
        <is>
          <t>43</t>
        </is>
      </c>
      <c r="DK101" s="123" t="inlineStr">
        <is>
          <t>1,44x</t>
        </is>
      </c>
      <c r="DL101" s="124" t="inlineStr">
        <is>
          <t>57</t>
        </is>
      </c>
      <c r="DM101" s="125" t="inlineStr">
        <is>
          <t>1.001</t>
        </is>
      </c>
      <c r="DN101" s="126" t="inlineStr">
        <is>
          <t>48</t>
        </is>
      </c>
      <c r="DO101" s="127" t="inlineStr">
        <is>
          <t>5,04%</t>
        </is>
      </c>
      <c r="DP101" s="128" t="inlineStr">
        <is>
          <t>511</t>
        </is>
      </c>
      <c r="DQ101" s="129" t="inlineStr">
        <is>
          <t>2</t>
        </is>
      </c>
      <c r="DR101" s="130" t="inlineStr">
        <is>
          <t>0,39%</t>
        </is>
      </c>
      <c r="DS101" s="131" t="inlineStr">
        <is>
          <t>82</t>
        </is>
      </c>
      <c r="DT101" s="132" t="inlineStr">
        <is>
          <t>-2</t>
        </is>
      </c>
      <c r="DU101" s="133" t="inlineStr">
        <is>
          <t>-2,38%</t>
        </is>
      </c>
      <c r="DV101" s="134" t="inlineStr">
        <is>
          <t>538</t>
        </is>
      </c>
      <c r="DW101" s="135" t="inlineStr">
        <is>
          <t>0</t>
        </is>
      </c>
      <c r="DX101" s="136" t="inlineStr">
        <is>
          <t>0,00%</t>
        </is>
      </c>
      <c r="DY101" s="137" t="inlineStr">
        <is>
          <t>PitchBook Research</t>
        </is>
      </c>
      <c r="DZ101" s="785">
        <f>HYPERLINK("https://my.pitchbook.com?c=167233-42", "View company online")</f>
      </c>
    </row>
    <row r="102">
      <c r="A102" s="139" t="inlineStr">
        <is>
          <t>184856-32</t>
        </is>
      </c>
      <c r="B102" s="140" t="inlineStr">
        <is>
          <t>CallDesk</t>
        </is>
      </c>
      <c r="C102" s="141" t="inlineStr">
        <is>
          <t/>
        </is>
      </c>
      <c r="D102" s="142" t="inlineStr">
        <is>
          <t/>
        </is>
      </c>
      <c r="E102" s="143" t="inlineStr">
        <is>
          <t>184856-32</t>
        </is>
      </c>
      <c r="F102" s="144" t="inlineStr">
        <is>
          <t>Developer of SaaS-based intelligent virtual agent created to handle repetitive calls so the enterprise can focus on high-value interactions with their customers. The company's platform has applied artificial intelligence and natural language processing to the automated management of phone calls and relies on an API to route calls to integrate with existing call center systems, CRM or ticketing systems, enabling call centers to reduce waiting time.</t>
        </is>
      </c>
      <c r="G102" s="145" t="inlineStr">
        <is>
          <t>Information Technology</t>
        </is>
      </c>
      <c r="H102" s="146" t="inlineStr">
        <is>
          <t>Software</t>
        </is>
      </c>
      <c r="I102" s="147" t="inlineStr">
        <is>
          <t>Automation/Workflow Software</t>
        </is>
      </c>
      <c r="J102" s="148" t="inlineStr">
        <is>
          <t>Automation/Workflow Software*; Communication Software</t>
        </is>
      </c>
      <c r="K102" s="149" t="inlineStr">
        <is>
          <t>Artificial Intelligence &amp; Machine Learning, Big Data, SaaS</t>
        </is>
      </c>
      <c r="L102" s="150" t="inlineStr">
        <is>
          <t>Venture Capital-Backed</t>
        </is>
      </c>
      <c r="M102" s="151" t="n">
        <v>2.1</v>
      </c>
      <c r="N102" s="152" t="inlineStr">
        <is>
          <t>Generating Revenue</t>
        </is>
      </c>
      <c r="O102" s="153" t="inlineStr">
        <is>
          <t>Privately Held (backing)</t>
        </is>
      </c>
      <c r="P102" s="154" t="inlineStr">
        <is>
          <t>Venture Capital</t>
        </is>
      </c>
      <c r="Q102" s="155" t="inlineStr">
        <is>
          <t>www.calldesk.ai</t>
        </is>
      </c>
      <c r="R102" s="156" t="n">
        <v>5.0</v>
      </c>
      <c r="S102" s="157" t="inlineStr">
        <is>
          <t/>
        </is>
      </c>
      <c r="T102" s="158" t="inlineStr">
        <is>
          <t/>
        </is>
      </c>
      <c r="U102" s="159" t="n">
        <v>2016.0</v>
      </c>
      <c r="V102" s="160" t="inlineStr">
        <is>
          <t/>
        </is>
      </c>
      <c r="W102" s="161" t="inlineStr">
        <is>
          <t/>
        </is>
      </c>
      <c r="X102" s="162" t="inlineStr">
        <is>
          <t/>
        </is>
      </c>
      <c r="Y102" s="163" t="inlineStr">
        <is>
          <t/>
        </is>
      </c>
      <c r="Z102" s="164" t="inlineStr">
        <is>
          <t/>
        </is>
      </c>
      <c r="AA102" s="165" t="inlineStr">
        <is>
          <t/>
        </is>
      </c>
      <c r="AB102" s="166" t="inlineStr">
        <is>
          <t/>
        </is>
      </c>
      <c r="AC102" s="167" t="inlineStr">
        <is>
          <t/>
        </is>
      </c>
      <c r="AD102" s="168" t="inlineStr">
        <is>
          <t/>
        </is>
      </c>
      <c r="AE102" s="169" t="inlineStr">
        <is>
          <t>68517-91P</t>
        </is>
      </c>
      <c r="AF102" s="170" t="inlineStr">
        <is>
          <t>Vincent Gire</t>
        </is>
      </c>
      <c r="AG102" s="171" t="inlineStr">
        <is>
          <t>Chief Executive Officer &amp; Co-Founder</t>
        </is>
      </c>
      <c r="AH102" s="172" t="inlineStr">
        <is>
          <t>vincent@calldesk.ai</t>
        </is>
      </c>
      <c r="AI102" s="173" t="inlineStr">
        <is>
          <t>+33 (0)1 72 60 50 23</t>
        </is>
      </c>
      <c r="AJ102" s="174" t="inlineStr">
        <is>
          <t>Paris, France</t>
        </is>
      </c>
      <c r="AK102" s="175" t="inlineStr">
        <is>
          <t>33 rue de Vaugirard</t>
        </is>
      </c>
      <c r="AL102" s="176" t="inlineStr">
        <is>
          <t/>
        </is>
      </c>
      <c r="AM102" s="177" t="inlineStr">
        <is>
          <t>Paris</t>
        </is>
      </c>
      <c r="AN102" s="178" t="inlineStr">
        <is>
          <t/>
        </is>
      </c>
      <c r="AO102" s="179" t="inlineStr">
        <is>
          <t>75006</t>
        </is>
      </c>
      <c r="AP102" s="180" t="inlineStr">
        <is>
          <t>France</t>
        </is>
      </c>
      <c r="AQ102" s="181" t="inlineStr">
        <is>
          <t/>
        </is>
      </c>
      <c r="AR102" s="182" t="inlineStr">
        <is>
          <t/>
        </is>
      </c>
      <c r="AS102" s="183" t="inlineStr">
        <is>
          <t>contact@calldesk.ai</t>
        </is>
      </c>
      <c r="AT102" s="184" t="inlineStr">
        <is>
          <t>Europe</t>
        </is>
      </c>
      <c r="AU102" s="185" t="inlineStr">
        <is>
          <t>Western Europe</t>
        </is>
      </c>
      <c r="AV102" s="186" t="inlineStr">
        <is>
          <t>The company raised EUR 2.1 million of venture funding in a deal led by Point Nine Capital and EQT Ventures on September 28, 2017. The funds will be used to modernize customer service through artificial intelligence and continue to develop its platform and expand operations.</t>
        </is>
      </c>
      <c r="AW102" s="187" t="inlineStr">
        <is>
          <t>Agoranov, EQT Ventures, Point Nine Capital</t>
        </is>
      </c>
      <c r="AX102" s="188" t="n">
        <v>3.0</v>
      </c>
      <c r="AY102" s="189" t="inlineStr">
        <is>
          <t/>
        </is>
      </c>
      <c r="AZ102" s="190" t="inlineStr">
        <is>
          <t/>
        </is>
      </c>
      <c r="BA102" s="191" t="inlineStr">
        <is>
          <t/>
        </is>
      </c>
      <c r="BB102" s="192" t="inlineStr">
        <is>
          <t>Agoranov (www.agoranov.com), EQT Ventures (www.eqtventures.com), Point Nine Capital (www.pointninecap.com)</t>
        </is>
      </c>
      <c r="BC102" s="193" t="inlineStr">
        <is>
          <t/>
        </is>
      </c>
      <c r="BD102" s="194" t="inlineStr">
        <is>
          <t/>
        </is>
      </c>
      <c r="BE102" s="195" t="inlineStr">
        <is>
          <t/>
        </is>
      </c>
      <c r="BF102" s="196" t="inlineStr">
        <is>
          <t/>
        </is>
      </c>
      <c r="BG102" s="197" t="n">
        <v>42526.0</v>
      </c>
      <c r="BH102" s="198" t="inlineStr">
        <is>
          <t/>
        </is>
      </c>
      <c r="BI102" s="199" t="inlineStr">
        <is>
          <t/>
        </is>
      </c>
      <c r="BJ102" s="200" t="inlineStr">
        <is>
          <t/>
        </is>
      </c>
      <c r="BK102" s="201" t="inlineStr">
        <is>
          <t/>
        </is>
      </c>
      <c r="BL102" s="202" t="inlineStr">
        <is>
          <t>Accelerator/Incubator</t>
        </is>
      </c>
      <c r="BM102" s="203" t="inlineStr">
        <is>
          <t/>
        </is>
      </c>
      <c r="BN102" s="204" t="inlineStr">
        <is>
          <t/>
        </is>
      </c>
      <c r="BO102" s="205" t="inlineStr">
        <is>
          <t>Other</t>
        </is>
      </c>
      <c r="BP102" s="206" t="inlineStr">
        <is>
          <t/>
        </is>
      </c>
      <c r="BQ102" s="207" t="inlineStr">
        <is>
          <t/>
        </is>
      </c>
      <c r="BR102" s="208" t="inlineStr">
        <is>
          <t/>
        </is>
      </c>
      <c r="BS102" s="209" t="inlineStr">
        <is>
          <t>Completed</t>
        </is>
      </c>
      <c r="BT102" s="210" t="n">
        <v>43006.0</v>
      </c>
      <c r="BU102" s="211" t="n">
        <v>2.1</v>
      </c>
      <c r="BV102" s="212" t="inlineStr">
        <is>
          <t>Actual</t>
        </is>
      </c>
      <c r="BW102" s="213" t="inlineStr">
        <is>
          <t/>
        </is>
      </c>
      <c r="BX102" s="214" t="inlineStr">
        <is>
          <t/>
        </is>
      </c>
      <c r="BY102" s="215" t="inlineStr">
        <is>
          <t>Early Stage VC</t>
        </is>
      </c>
      <c r="BZ102" s="216" t="inlineStr">
        <is>
          <t/>
        </is>
      </c>
      <c r="CA102" s="217" t="inlineStr">
        <is>
          <t/>
        </is>
      </c>
      <c r="CB102" s="218" t="inlineStr">
        <is>
          <t>Venture Capital</t>
        </is>
      </c>
      <c r="CC102" s="219" t="inlineStr">
        <is>
          <t/>
        </is>
      </c>
      <c r="CD102" s="220" t="inlineStr">
        <is>
          <t/>
        </is>
      </c>
      <c r="CE102" s="221" t="inlineStr">
        <is>
          <t/>
        </is>
      </c>
      <c r="CF102" s="222" t="inlineStr">
        <is>
          <t>Completed</t>
        </is>
      </c>
      <c r="CG102" s="223" t="inlineStr">
        <is>
          <t>0,00%</t>
        </is>
      </c>
      <c r="CH102" s="224" t="inlineStr">
        <is>
          <t>33</t>
        </is>
      </c>
      <c r="CI102" s="225" t="inlineStr">
        <is>
          <t>0,00%</t>
        </is>
      </c>
      <c r="CJ102" s="226" t="inlineStr">
        <is>
          <t>0,00%</t>
        </is>
      </c>
      <c r="CK102" s="227" t="inlineStr">
        <is>
          <t>0,00%</t>
        </is>
      </c>
      <c r="CL102" s="228" t="inlineStr">
        <is>
          <t>28</t>
        </is>
      </c>
      <c r="CM102" s="229" t="inlineStr">
        <is>
          <t>0,00%</t>
        </is>
      </c>
      <c r="CN102" s="230" t="inlineStr">
        <is>
          <t>20</t>
        </is>
      </c>
      <c r="CO102" s="231" t="inlineStr">
        <is>
          <t/>
        </is>
      </c>
      <c r="CP102" s="232" t="inlineStr">
        <is>
          <t/>
        </is>
      </c>
      <c r="CQ102" s="233" t="inlineStr">
        <is>
          <t>0,00%</t>
        </is>
      </c>
      <c r="CR102" s="234" t="inlineStr">
        <is>
          <t>20</t>
        </is>
      </c>
      <c r="CS102" s="235" t="inlineStr">
        <is>
          <t/>
        </is>
      </c>
      <c r="CT102" s="236" t="inlineStr">
        <is>
          <t/>
        </is>
      </c>
      <c r="CU102" s="237" t="inlineStr">
        <is>
          <t>0,00%</t>
        </is>
      </c>
      <c r="CV102" s="238" t="inlineStr">
        <is>
          <t>21</t>
        </is>
      </c>
      <c r="CW102" s="239" t="inlineStr">
        <is>
          <t>0,10x</t>
        </is>
      </c>
      <c r="CX102" s="240" t="inlineStr">
        <is>
          <t>9</t>
        </is>
      </c>
      <c r="CY102" s="241" t="inlineStr">
        <is>
          <t>0,07x</t>
        </is>
      </c>
      <c r="CZ102" s="242" t="inlineStr">
        <is>
          <t>262,83%</t>
        </is>
      </c>
      <c r="DA102" s="243" t="inlineStr">
        <is>
          <t>0,03x</t>
        </is>
      </c>
      <c r="DB102" s="244" t="inlineStr">
        <is>
          <t>1</t>
        </is>
      </c>
      <c r="DC102" s="245" t="inlineStr">
        <is>
          <t>0,17x</t>
        </is>
      </c>
      <c r="DD102" s="246" t="inlineStr">
        <is>
          <t>19</t>
        </is>
      </c>
      <c r="DE102" s="247" t="inlineStr">
        <is>
          <t/>
        </is>
      </c>
      <c r="DF102" s="248" t="inlineStr">
        <is>
          <t/>
        </is>
      </c>
      <c r="DG102" s="249" t="inlineStr">
        <is>
          <t>0,03x</t>
        </is>
      </c>
      <c r="DH102" s="250" t="inlineStr">
        <is>
          <t>1</t>
        </is>
      </c>
      <c r="DI102" s="251" t="inlineStr">
        <is>
          <t/>
        </is>
      </c>
      <c r="DJ102" s="252" t="inlineStr">
        <is>
          <t/>
        </is>
      </c>
      <c r="DK102" s="253" t="inlineStr">
        <is>
          <t>0,17x</t>
        </is>
      </c>
      <c r="DL102" s="254" t="inlineStr">
        <is>
          <t>22</t>
        </is>
      </c>
      <c r="DM102" s="255" t="inlineStr">
        <is>
          <t/>
        </is>
      </c>
      <c r="DN102" s="256" t="inlineStr">
        <is>
          <t/>
        </is>
      </c>
      <c r="DO102" s="257" t="inlineStr">
        <is>
          <t/>
        </is>
      </c>
      <c r="DP102" s="258" t="inlineStr">
        <is>
          <t/>
        </is>
      </c>
      <c r="DQ102" s="259" t="inlineStr">
        <is>
          <t/>
        </is>
      </c>
      <c r="DR102" s="260" t="inlineStr">
        <is>
          <t/>
        </is>
      </c>
      <c r="DS102" s="261" t="inlineStr">
        <is>
          <t>1</t>
        </is>
      </c>
      <c r="DT102" s="262" t="inlineStr">
        <is>
          <t>0</t>
        </is>
      </c>
      <c r="DU102" s="263" t="inlineStr">
        <is>
          <t>0,00%</t>
        </is>
      </c>
      <c r="DV102" s="264" t="inlineStr">
        <is>
          <t>66</t>
        </is>
      </c>
      <c r="DW102" s="265" t="inlineStr">
        <is>
          <t>1</t>
        </is>
      </c>
      <c r="DX102" s="266" t="inlineStr">
        <is>
          <t>1,54%</t>
        </is>
      </c>
      <c r="DY102" s="267" t="inlineStr">
        <is>
          <t>PitchBook Research</t>
        </is>
      </c>
      <c r="DZ102" s="786">
        <f>HYPERLINK("https://my.pitchbook.com?c=184856-32", "View company online")</f>
      </c>
    </row>
    <row r="103">
      <c r="A103" s="9" t="inlineStr">
        <is>
          <t>186004-63</t>
        </is>
      </c>
      <c r="B103" s="10" t="inlineStr">
        <is>
          <t>Mything</t>
        </is>
      </c>
      <c r="C103" s="11" t="inlineStr">
        <is>
          <t/>
        </is>
      </c>
      <c r="D103" s="12" t="inlineStr">
        <is>
          <t/>
        </is>
      </c>
      <c r="E103" s="13" t="inlineStr">
        <is>
          <t>186004-63</t>
        </is>
      </c>
      <c r="F103" s="14" t="inlineStr">
        <is>
          <t>Provider of online marketplace intended to help designers in uploading of various jewelry, accessories and decoration ideas. The company's online marketplace specializes in lasercutting process which helps designers to create a digital version of a part or product and send it anywhere in the world, enabling designers, manufacturers, and customers to converge and create a supply chain with a focus on local 3D printing shops.</t>
        </is>
      </c>
      <c r="G103" s="15" t="inlineStr">
        <is>
          <t>Consumer Products and Services (B2C)</t>
        </is>
      </c>
      <c r="H103" s="16" t="inlineStr">
        <is>
          <t>Retail</t>
        </is>
      </c>
      <c r="I103" s="17" t="inlineStr">
        <is>
          <t>Specialty Retail</t>
        </is>
      </c>
      <c r="J103" s="18" t="inlineStr">
        <is>
          <t>Specialty Retail*; Information Services (B2C); Application Software</t>
        </is>
      </c>
      <c r="K103" s="19" t="inlineStr">
        <is>
          <t>3D Printing, E-Commerce, Manufacturing</t>
        </is>
      </c>
      <c r="L103" s="20" t="inlineStr">
        <is>
          <t>Venture Capital-Backed</t>
        </is>
      </c>
      <c r="M103" s="21" t="n">
        <v>2.1</v>
      </c>
      <c r="N103" s="22" t="inlineStr">
        <is>
          <t>Generating Revenue</t>
        </is>
      </c>
      <c r="O103" s="23" t="inlineStr">
        <is>
          <t>Privately Held (backing)</t>
        </is>
      </c>
      <c r="P103" s="24" t="inlineStr">
        <is>
          <t>Venture Capital</t>
        </is>
      </c>
      <c r="Q103" s="25" t="inlineStr">
        <is>
          <t>www.mything.com</t>
        </is>
      </c>
      <c r="R103" s="26" t="n">
        <v>10.0</v>
      </c>
      <c r="S103" s="27" t="inlineStr">
        <is>
          <t/>
        </is>
      </c>
      <c r="T103" s="28" t="inlineStr">
        <is>
          <t/>
        </is>
      </c>
      <c r="U103" s="29" t="n">
        <v>2017.0</v>
      </c>
      <c r="V103" s="30" t="inlineStr">
        <is>
          <t/>
        </is>
      </c>
      <c r="W103" s="31" t="inlineStr">
        <is>
          <t/>
        </is>
      </c>
      <c r="X103" s="32" t="inlineStr">
        <is>
          <t/>
        </is>
      </c>
      <c r="Y103" s="33" t="inlineStr">
        <is>
          <t/>
        </is>
      </c>
      <c r="Z103" s="34" t="inlineStr">
        <is>
          <t/>
        </is>
      </c>
      <c r="AA103" s="35" t="inlineStr">
        <is>
          <t/>
        </is>
      </c>
      <c r="AB103" s="36" t="inlineStr">
        <is>
          <t/>
        </is>
      </c>
      <c r="AC103" s="37" t="inlineStr">
        <is>
          <t/>
        </is>
      </c>
      <c r="AD103" s="38" t="inlineStr">
        <is>
          <t/>
        </is>
      </c>
      <c r="AE103" s="39" t="inlineStr">
        <is>
          <t>170377-93P</t>
        </is>
      </c>
      <c r="AF103" s="40" t="inlineStr">
        <is>
          <t>Florian Mott</t>
        </is>
      </c>
      <c r="AG103" s="41" t="inlineStr">
        <is>
          <t>Chief Executive Officer &amp; Co-Founder</t>
        </is>
      </c>
      <c r="AH103" s="42" t="inlineStr">
        <is>
          <t>fmott@mything.com</t>
        </is>
      </c>
      <c r="AI103" s="43" t="inlineStr">
        <is>
          <t>+43 (0)316 7131 00</t>
        </is>
      </c>
      <c r="AJ103" s="44" t="inlineStr">
        <is>
          <t>Graz, Austria</t>
        </is>
      </c>
      <c r="AK103" s="45" t="inlineStr">
        <is>
          <t>Entenplatz 1a</t>
        </is>
      </c>
      <c r="AL103" s="46" t="inlineStr">
        <is>
          <t/>
        </is>
      </c>
      <c r="AM103" s="47" t="inlineStr">
        <is>
          <t>Graz</t>
        </is>
      </c>
      <c r="AN103" s="48" t="inlineStr">
        <is>
          <t/>
        </is>
      </c>
      <c r="AO103" s="49" t="inlineStr">
        <is>
          <t/>
        </is>
      </c>
      <c r="AP103" s="50" t="inlineStr">
        <is>
          <t>Austria</t>
        </is>
      </c>
      <c r="AQ103" s="51" t="inlineStr">
        <is>
          <t>+43 (0)316 7131 00</t>
        </is>
      </c>
      <c r="AR103" s="52" t="inlineStr">
        <is>
          <t/>
        </is>
      </c>
      <c r="AS103" s="53" t="inlineStr">
        <is>
          <t>info@mything.com</t>
        </is>
      </c>
      <c r="AT103" s="54" t="inlineStr">
        <is>
          <t>Europe</t>
        </is>
      </c>
      <c r="AU103" s="55" t="inlineStr">
        <is>
          <t>Western Europe</t>
        </is>
      </c>
      <c r="AV103" s="56" t="inlineStr">
        <is>
          <t>The company raised EUR 2.1 million of seed funding from KaPa Ventures on September 6, 2017.</t>
        </is>
      </c>
      <c r="AW103" s="57" t="inlineStr">
        <is>
          <t>KaPa Ventures</t>
        </is>
      </c>
      <c r="AX103" s="58" t="n">
        <v>1.0</v>
      </c>
      <c r="AY103" s="59" t="inlineStr">
        <is>
          <t/>
        </is>
      </c>
      <c r="AZ103" s="60" t="inlineStr">
        <is>
          <t/>
        </is>
      </c>
      <c r="BA103" s="61" t="inlineStr">
        <is>
          <t/>
        </is>
      </c>
      <c r="BB103" s="62" t="inlineStr">
        <is>
          <t>KaPa Ventures (www.kapa-ventures.com)</t>
        </is>
      </c>
      <c r="BC103" s="63" t="inlineStr">
        <is>
          <t/>
        </is>
      </c>
      <c r="BD103" s="64" t="inlineStr">
        <is>
          <t/>
        </is>
      </c>
      <c r="BE103" s="65" t="inlineStr">
        <is>
          <t/>
        </is>
      </c>
      <c r="BF103" s="66" t="inlineStr">
        <is>
          <t/>
        </is>
      </c>
      <c r="BG103" s="67" t="n">
        <v>42984.0</v>
      </c>
      <c r="BH103" s="68" t="n">
        <v>2.1</v>
      </c>
      <c r="BI103" s="69" t="inlineStr">
        <is>
          <t>Actual</t>
        </is>
      </c>
      <c r="BJ103" s="70" t="inlineStr">
        <is>
          <t/>
        </is>
      </c>
      <c r="BK103" s="71" t="inlineStr">
        <is>
          <t/>
        </is>
      </c>
      <c r="BL103" s="72" t="inlineStr">
        <is>
          <t>Seed Round</t>
        </is>
      </c>
      <c r="BM103" s="73" t="inlineStr">
        <is>
          <t>Seed</t>
        </is>
      </c>
      <c r="BN103" s="74" t="inlineStr">
        <is>
          <t/>
        </is>
      </c>
      <c r="BO103" s="75" t="inlineStr">
        <is>
          <t>Venture Capital</t>
        </is>
      </c>
      <c r="BP103" s="76" t="inlineStr">
        <is>
          <t/>
        </is>
      </c>
      <c r="BQ103" s="77" t="inlineStr">
        <is>
          <t/>
        </is>
      </c>
      <c r="BR103" s="78" t="inlineStr">
        <is>
          <t/>
        </is>
      </c>
      <c r="BS103" s="79" t="inlineStr">
        <is>
          <t>Completed</t>
        </is>
      </c>
      <c r="BT103" s="80" t="n">
        <v>42984.0</v>
      </c>
      <c r="BU103" s="81" t="n">
        <v>2.1</v>
      </c>
      <c r="BV103" s="82" t="inlineStr">
        <is>
          <t>Actual</t>
        </is>
      </c>
      <c r="BW103" s="83" t="inlineStr">
        <is>
          <t/>
        </is>
      </c>
      <c r="BX103" s="84" t="inlineStr">
        <is>
          <t/>
        </is>
      </c>
      <c r="BY103" s="85" t="inlineStr">
        <is>
          <t>Seed Round</t>
        </is>
      </c>
      <c r="BZ103" s="86" t="inlineStr">
        <is>
          <t>Seed</t>
        </is>
      </c>
      <c r="CA103" s="87" t="inlineStr">
        <is>
          <t/>
        </is>
      </c>
      <c r="CB103" s="88" t="inlineStr">
        <is>
          <t>Venture Capital</t>
        </is>
      </c>
      <c r="CC103" s="89" t="inlineStr">
        <is>
          <t/>
        </is>
      </c>
      <c r="CD103" s="90" t="inlineStr">
        <is>
          <t/>
        </is>
      </c>
      <c r="CE103" s="91" t="inlineStr">
        <is>
          <t/>
        </is>
      </c>
      <c r="CF103" s="92" t="inlineStr">
        <is>
          <t>Completed</t>
        </is>
      </c>
      <c r="CG103" s="93" t="inlineStr">
        <is>
          <t>2,72%</t>
        </is>
      </c>
      <c r="CH103" s="94" t="inlineStr">
        <is>
          <t>99</t>
        </is>
      </c>
      <c r="CI103" s="95" t="inlineStr">
        <is>
          <t>-0,20%</t>
        </is>
      </c>
      <c r="CJ103" s="96" t="inlineStr">
        <is>
          <t>-6,96%</t>
        </is>
      </c>
      <c r="CK103" s="97" t="inlineStr">
        <is>
          <t>0,13%</t>
        </is>
      </c>
      <c r="CL103" s="98" t="inlineStr">
        <is>
          <t>91</t>
        </is>
      </c>
      <c r="CM103" s="99" t="inlineStr">
        <is>
          <t>5,32%</t>
        </is>
      </c>
      <c r="CN103" s="100" t="inlineStr">
        <is>
          <t>100</t>
        </is>
      </c>
      <c r="CO103" s="101" t="inlineStr">
        <is>
          <t/>
        </is>
      </c>
      <c r="CP103" s="102" t="inlineStr">
        <is>
          <t/>
        </is>
      </c>
      <c r="CQ103" s="103" t="inlineStr">
        <is>
          <t>0,13%</t>
        </is>
      </c>
      <c r="CR103" s="104" t="inlineStr">
        <is>
          <t>90</t>
        </is>
      </c>
      <c r="CS103" s="105" t="inlineStr">
        <is>
          <t>5,32%</t>
        </is>
      </c>
      <c r="CT103" s="106" t="inlineStr">
        <is>
          <t>100</t>
        </is>
      </c>
      <c r="CU103" s="107" t="inlineStr">
        <is>
          <t/>
        </is>
      </c>
      <c r="CV103" s="108" t="inlineStr">
        <is>
          <t/>
        </is>
      </c>
      <c r="CW103" s="109" t="inlineStr">
        <is>
          <t>3,00x</t>
        </is>
      </c>
      <c r="CX103" s="110" t="inlineStr">
        <is>
          <t>72</t>
        </is>
      </c>
      <c r="CY103" s="111" t="inlineStr">
        <is>
          <t>-0,02x</t>
        </is>
      </c>
      <c r="CZ103" s="112" t="inlineStr">
        <is>
          <t>-0,54%</t>
        </is>
      </c>
      <c r="DA103" s="113" t="inlineStr">
        <is>
          <t>2,78x</t>
        </is>
      </c>
      <c r="DB103" s="114" t="inlineStr">
        <is>
          <t>73</t>
        </is>
      </c>
      <c r="DC103" s="115" t="inlineStr">
        <is>
          <t>3,22x</t>
        </is>
      </c>
      <c r="DD103" s="116" t="inlineStr">
        <is>
          <t>70</t>
        </is>
      </c>
      <c r="DE103" s="117" t="inlineStr">
        <is>
          <t/>
        </is>
      </c>
      <c r="DF103" s="118" t="inlineStr">
        <is>
          <t/>
        </is>
      </c>
      <c r="DG103" s="119" t="inlineStr">
        <is>
          <t>2,78x</t>
        </is>
      </c>
      <c r="DH103" s="120" t="inlineStr">
        <is>
          <t>71</t>
        </is>
      </c>
      <c r="DI103" s="121" t="inlineStr">
        <is>
          <t>3,22x</t>
        </is>
      </c>
      <c r="DJ103" s="122" t="inlineStr">
        <is>
          <t>69</t>
        </is>
      </c>
      <c r="DK103" s="123" t="inlineStr">
        <is>
          <t/>
        </is>
      </c>
      <c r="DL103" s="124" t="inlineStr">
        <is>
          <t/>
        </is>
      </c>
      <c r="DM103" s="125" t="inlineStr">
        <is>
          <t/>
        </is>
      </c>
      <c r="DN103" s="126" t="inlineStr">
        <is>
          <t/>
        </is>
      </c>
      <c r="DO103" s="127" t="inlineStr">
        <is>
          <t/>
        </is>
      </c>
      <c r="DP103" s="128" t="inlineStr">
        <is>
          <t>2.529</t>
        </is>
      </c>
      <c r="DQ103" s="129" t="inlineStr">
        <is>
          <t>69</t>
        </is>
      </c>
      <c r="DR103" s="130" t="inlineStr">
        <is>
          <t>2,80%</t>
        </is>
      </c>
      <c r="DS103" s="131" t="inlineStr">
        <is>
          <t>101</t>
        </is>
      </c>
      <c r="DT103" s="132" t="inlineStr">
        <is>
          <t>-1</t>
        </is>
      </c>
      <c r="DU103" s="133" t="inlineStr">
        <is>
          <t>-0,98%</t>
        </is>
      </c>
      <c r="DV103" s="134" t="inlineStr">
        <is>
          <t/>
        </is>
      </c>
      <c r="DW103" s="135" t="inlineStr">
        <is>
          <t/>
        </is>
      </c>
      <c r="DX103" s="136" t="inlineStr">
        <is>
          <t/>
        </is>
      </c>
      <c r="DY103" s="137" t="inlineStr">
        <is>
          <t>PitchBook Research</t>
        </is>
      </c>
      <c r="DZ103" s="785">
        <f>HYPERLINK("https://my.pitchbook.com?c=186004-63", "View company online")</f>
      </c>
    </row>
    <row r="104">
      <c r="A104" s="139" t="inlineStr">
        <is>
          <t>187593-49</t>
        </is>
      </c>
      <c r="B104" s="140" t="inlineStr">
        <is>
          <t>Frilans Finans</t>
        </is>
      </c>
      <c r="C104" s="141" t="inlineStr">
        <is>
          <t/>
        </is>
      </c>
      <c r="D104" s="142" t="inlineStr">
        <is>
          <t/>
        </is>
      </c>
      <c r="E104" s="143" t="inlineStr">
        <is>
          <t>187593-49</t>
        </is>
      </c>
      <c r="F104" s="144" t="inlineStr">
        <is>
          <t>Provider of self-employment services designed to help people to operate in a simple, fun and safe way. The company's self-employment services offer people to earn through the website by selling their work assignment even without being employed, enabling users to earn without any hidden cost associated with it.</t>
        </is>
      </c>
      <c r="G104" s="145" t="inlineStr">
        <is>
          <t>Business Products and Services (B2B)</t>
        </is>
      </c>
      <c r="H104" s="146" t="inlineStr">
        <is>
          <t>Commercial Services</t>
        </is>
      </c>
      <c r="I104" s="147" t="inlineStr">
        <is>
          <t>Human Capital Services</t>
        </is>
      </c>
      <c r="J104" s="148" t="inlineStr">
        <is>
          <t>Human Capital Services*; Other Financial Services; Business/Productivity Software</t>
        </is>
      </c>
      <c r="K104" s="149" t="inlineStr">
        <is>
          <t>FinTech</t>
        </is>
      </c>
      <c r="L104" s="150" t="inlineStr">
        <is>
          <t>Angel-Backed</t>
        </is>
      </c>
      <c r="M104" s="151" t="n">
        <v>2.1</v>
      </c>
      <c r="N104" s="152" t="inlineStr">
        <is>
          <t>Profitable</t>
        </is>
      </c>
      <c r="O104" s="153" t="inlineStr">
        <is>
          <t>Privately Held (backing)</t>
        </is>
      </c>
      <c r="P104" s="154" t="inlineStr">
        <is>
          <t>Pre-venture</t>
        </is>
      </c>
      <c r="Q104" s="155" t="inlineStr">
        <is>
          <t>www.frilansfinans.no</t>
        </is>
      </c>
      <c r="R104" s="156" t="n">
        <v>35.0</v>
      </c>
      <c r="S104" s="157" t="inlineStr">
        <is>
          <t/>
        </is>
      </c>
      <c r="T104" s="158" t="inlineStr">
        <is>
          <t/>
        </is>
      </c>
      <c r="U104" s="159" t="n">
        <v>1999.0</v>
      </c>
      <c r="V104" s="160" t="inlineStr">
        <is>
          <t/>
        </is>
      </c>
      <c r="W104" s="161" t="inlineStr">
        <is>
          <t/>
        </is>
      </c>
      <c r="X104" s="162" t="inlineStr">
        <is>
          <t/>
        </is>
      </c>
      <c r="Y104" s="163" t="n">
        <v>110.02695</v>
      </c>
      <c r="Z104" s="164" t="inlineStr">
        <is>
          <t/>
        </is>
      </c>
      <c r="AA104" s="165" t="n">
        <v>0.64504</v>
      </c>
      <c r="AB104" s="166" t="inlineStr">
        <is>
          <t/>
        </is>
      </c>
      <c r="AC104" s="167" t="n">
        <v>0.82527</v>
      </c>
      <c r="AD104" s="168" t="inlineStr">
        <is>
          <t>FY 2016</t>
        </is>
      </c>
      <c r="AE104" s="169" t="inlineStr">
        <is>
          <t>172302-94P</t>
        </is>
      </c>
      <c r="AF104" s="170" t="inlineStr">
        <is>
          <t>Lars Bengtsson</t>
        </is>
      </c>
      <c r="AG104" s="171" t="inlineStr">
        <is>
          <t>Chief Financial Officer</t>
        </is>
      </c>
      <c r="AH104" s="172" t="inlineStr">
        <is>
          <t>lars.bengtsson@frilansfinans.se</t>
        </is>
      </c>
      <c r="AI104" s="173" t="inlineStr">
        <is>
          <t>+46 (0)0760-01 26 98</t>
        </is>
      </c>
      <c r="AJ104" s="174" t="inlineStr">
        <is>
          <t>Uppsala, Sweden</t>
        </is>
      </c>
      <c r="AK104" s="175" t="inlineStr">
        <is>
          <t>Day Hammarskjöld Road 13</t>
        </is>
      </c>
      <c r="AL104" s="176" t="inlineStr">
        <is>
          <t/>
        </is>
      </c>
      <c r="AM104" s="177" t="inlineStr">
        <is>
          <t>Uppsala</t>
        </is>
      </c>
      <c r="AN104" s="178" t="inlineStr">
        <is>
          <t/>
        </is>
      </c>
      <c r="AO104" s="179" t="inlineStr">
        <is>
          <t>752 37</t>
        </is>
      </c>
      <c r="AP104" s="180" t="inlineStr">
        <is>
          <t>Sweden</t>
        </is>
      </c>
      <c r="AQ104" s="181" t="inlineStr">
        <is>
          <t>+46 (0)0771 - 15 10 00</t>
        </is>
      </c>
      <c r="AR104" s="182" t="inlineStr">
        <is>
          <t/>
        </is>
      </c>
      <c r="AS104" s="183" t="inlineStr">
        <is>
          <t>info@frilansfinans.se</t>
        </is>
      </c>
      <c r="AT104" s="184" t="inlineStr">
        <is>
          <t>Europe</t>
        </is>
      </c>
      <c r="AU104" s="185" t="inlineStr">
        <is>
          <t>Northern Europe</t>
        </is>
      </c>
      <c r="AV104" s="186" t="inlineStr">
        <is>
          <t>The company raised SEK 20 million of angel funding via crowd funding platform Pepins Nprdic on September 29, 2017, putting the company's pre-money's valuation at SEK 100 million.</t>
        </is>
      </c>
      <c r="AW104" s="187" t="inlineStr">
        <is>
          <t/>
        </is>
      </c>
      <c r="AX104" s="188" t="inlineStr">
        <is>
          <t/>
        </is>
      </c>
      <c r="AY104" s="189" t="inlineStr">
        <is>
          <t/>
        </is>
      </c>
      <c r="AZ104" s="190" t="inlineStr">
        <is>
          <t/>
        </is>
      </c>
      <c r="BA104" s="191" t="inlineStr">
        <is>
          <t/>
        </is>
      </c>
      <c r="BB104" s="192" t="inlineStr">
        <is>
          <t/>
        </is>
      </c>
      <c r="BC104" s="193" t="inlineStr">
        <is>
          <t/>
        </is>
      </c>
      <c r="BD104" s="194" t="inlineStr">
        <is>
          <t/>
        </is>
      </c>
      <c r="BE104" s="195" t="inlineStr">
        <is>
          <t/>
        </is>
      </c>
      <c r="BF104" s="196" t="inlineStr">
        <is>
          <t>Pepins Nordic (Lead Manager or Arranger)</t>
        </is>
      </c>
      <c r="BG104" s="197" t="n">
        <v>43007.0</v>
      </c>
      <c r="BH104" s="198" t="n">
        <v>2.1</v>
      </c>
      <c r="BI104" s="199" t="inlineStr">
        <is>
          <t>Actual</t>
        </is>
      </c>
      <c r="BJ104" s="200" t="n">
        <v>12.59</v>
      </c>
      <c r="BK104" s="201" t="inlineStr">
        <is>
          <t>Actual</t>
        </is>
      </c>
      <c r="BL104" s="202" t="inlineStr">
        <is>
          <t>Angel (individual)</t>
        </is>
      </c>
      <c r="BM104" s="203" t="inlineStr">
        <is>
          <t>Angel</t>
        </is>
      </c>
      <c r="BN104" s="204" t="inlineStr">
        <is>
          <t/>
        </is>
      </c>
      <c r="BO104" s="205" t="inlineStr">
        <is>
          <t>Individual</t>
        </is>
      </c>
      <c r="BP104" s="206" t="inlineStr">
        <is>
          <t/>
        </is>
      </c>
      <c r="BQ104" s="207" t="inlineStr">
        <is>
          <t/>
        </is>
      </c>
      <c r="BR104" s="208" t="inlineStr">
        <is>
          <t/>
        </is>
      </c>
      <c r="BS104" s="209" t="inlineStr">
        <is>
          <t>Completed</t>
        </is>
      </c>
      <c r="BT104" s="210" t="n">
        <v>43007.0</v>
      </c>
      <c r="BU104" s="211" t="n">
        <v>2.1</v>
      </c>
      <c r="BV104" s="212" t="inlineStr">
        <is>
          <t>Actual</t>
        </is>
      </c>
      <c r="BW104" s="213" t="n">
        <v>12.59</v>
      </c>
      <c r="BX104" s="214" t="inlineStr">
        <is>
          <t>Actual</t>
        </is>
      </c>
      <c r="BY104" s="215" t="inlineStr">
        <is>
          <t>Angel (individual)</t>
        </is>
      </c>
      <c r="BZ104" s="216" t="inlineStr">
        <is>
          <t>Angel</t>
        </is>
      </c>
      <c r="CA104" s="217" t="inlineStr">
        <is>
          <t/>
        </is>
      </c>
      <c r="CB104" s="218" t="inlineStr">
        <is>
          <t>Individual</t>
        </is>
      </c>
      <c r="CC104" s="219" t="inlineStr">
        <is>
          <t/>
        </is>
      </c>
      <c r="CD104" s="220" t="inlineStr">
        <is>
          <t/>
        </is>
      </c>
      <c r="CE104" s="221" t="inlineStr">
        <is>
          <t/>
        </is>
      </c>
      <c r="CF104" s="222" t="inlineStr">
        <is>
          <t>Completed</t>
        </is>
      </c>
      <c r="CG104" s="223" t="inlineStr">
        <is>
          <t>0,10%</t>
        </is>
      </c>
      <c r="CH104" s="224" t="inlineStr">
        <is>
          <t>82</t>
        </is>
      </c>
      <c r="CI104" s="225" t="inlineStr">
        <is>
          <t>0,10%</t>
        </is>
      </c>
      <c r="CJ104" s="226" t="inlineStr">
        <is>
          <t>0,00%</t>
        </is>
      </c>
      <c r="CK104" s="227" t="inlineStr">
        <is>
          <t/>
        </is>
      </c>
      <c r="CL104" s="228" t="inlineStr">
        <is>
          <t/>
        </is>
      </c>
      <c r="CM104" s="229" t="inlineStr">
        <is>
          <t>0,21%</t>
        </is>
      </c>
      <c r="CN104" s="230" t="inlineStr">
        <is>
          <t>72</t>
        </is>
      </c>
      <c r="CO104" s="231" t="inlineStr">
        <is>
          <t/>
        </is>
      </c>
      <c r="CP104" s="232" t="inlineStr">
        <is>
          <t/>
        </is>
      </c>
      <c r="CQ104" s="233" t="inlineStr">
        <is>
          <t/>
        </is>
      </c>
      <c r="CR104" s="234" t="inlineStr">
        <is>
          <t/>
        </is>
      </c>
      <c r="CS104" s="235" t="inlineStr">
        <is>
          <t>0,16%</t>
        </is>
      </c>
      <c r="CT104" s="236" t="inlineStr">
        <is>
          <t>65</t>
        </is>
      </c>
      <c r="CU104" s="237" t="inlineStr">
        <is>
          <t>0,26%</t>
        </is>
      </c>
      <c r="CV104" s="238" t="inlineStr">
        <is>
          <t>81</t>
        </is>
      </c>
      <c r="CW104" s="239" t="inlineStr">
        <is>
          <t>1,47x</t>
        </is>
      </c>
      <c r="CX104" s="240" t="inlineStr">
        <is>
          <t>58</t>
        </is>
      </c>
      <c r="CY104" s="241" t="inlineStr">
        <is>
          <t>1,35x</t>
        </is>
      </c>
      <c r="CZ104" s="242" t="inlineStr">
        <is>
          <t>1.097,12%</t>
        </is>
      </c>
      <c r="DA104" s="243" t="inlineStr">
        <is>
          <t/>
        </is>
      </c>
      <c r="DB104" s="244" t="inlineStr">
        <is>
          <t/>
        </is>
      </c>
      <c r="DC104" s="245" t="inlineStr">
        <is>
          <t>2,82x</t>
        </is>
      </c>
      <c r="DD104" s="246" t="inlineStr">
        <is>
          <t>68</t>
        </is>
      </c>
      <c r="DE104" s="247" t="inlineStr">
        <is>
          <t/>
        </is>
      </c>
      <c r="DF104" s="248" t="inlineStr">
        <is>
          <t/>
        </is>
      </c>
      <c r="DG104" s="249" t="inlineStr">
        <is>
          <t/>
        </is>
      </c>
      <c r="DH104" s="250" t="inlineStr">
        <is>
          <t/>
        </is>
      </c>
      <c r="DI104" s="251" t="inlineStr">
        <is>
          <t>5,00x</t>
        </is>
      </c>
      <c r="DJ104" s="252" t="inlineStr">
        <is>
          <t>74</t>
        </is>
      </c>
      <c r="DK104" s="253" t="inlineStr">
        <is>
          <t>0,63x</t>
        </is>
      </c>
      <c r="DL104" s="254" t="inlineStr">
        <is>
          <t>42</t>
        </is>
      </c>
      <c r="DM104" s="255" t="inlineStr">
        <is>
          <t/>
        </is>
      </c>
      <c r="DN104" s="256" t="inlineStr">
        <is>
          <t/>
        </is>
      </c>
      <c r="DO104" s="257" t="inlineStr">
        <is>
          <t/>
        </is>
      </c>
      <c r="DP104" s="258" t="inlineStr">
        <is>
          <t>3.958</t>
        </is>
      </c>
      <c r="DQ104" s="259" t="inlineStr">
        <is>
          <t>4</t>
        </is>
      </c>
      <c r="DR104" s="260" t="inlineStr">
        <is>
          <t>0,10%</t>
        </is>
      </c>
      <c r="DS104" s="261" t="inlineStr">
        <is>
          <t>29</t>
        </is>
      </c>
      <c r="DT104" s="262" t="inlineStr">
        <is>
          <t>0</t>
        </is>
      </c>
      <c r="DU104" s="263" t="inlineStr">
        <is>
          <t>0,00%</t>
        </is>
      </c>
      <c r="DV104" s="264" t="inlineStr">
        <is>
          <t>236</t>
        </is>
      </c>
      <c r="DW104" s="265" t="inlineStr">
        <is>
          <t>0</t>
        </is>
      </c>
      <c r="DX104" s="266" t="inlineStr">
        <is>
          <t>0,00%</t>
        </is>
      </c>
      <c r="DY104" s="267" t="inlineStr">
        <is>
          <t>PitchBook Research</t>
        </is>
      </c>
      <c r="DZ104" s="786">
        <f>HYPERLINK("https://my.pitchbook.com?c=187593-49", "View company online")</f>
      </c>
    </row>
    <row r="105">
      <c r="A105" s="9" t="inlineStr">
        <is>
          <t>180720-10</t>
        </is>
      </c>
      <c r="B105" s="10" t="inlineStr">
        <is>
          <t>Castore</t>
        </is>
      </c>
      <c r="C105" s="11" t="inlineStr">
        <is>
          <t/>
        </is>
      </c>
      <c r="D105" s="12" t="inlineStr">
        <is>
          <t/>
        </is>
      </c>
      <c r="E105" s="13" t="inlineStr">
        <is>
          <t>180720-10</t>
        </is>
      </c>
      <c r="F105" s="14" t="inlineStr">
        <is>
          <t>Operator of a premium sportswear company designed to sell premium performance sports apparel. The company's sportswear brand is designed to manufacture and sell the lightest and most durable premium sportswear apparel enabling athletes and other users to get the highest quality sportswear outfit for optimum performance.</t>
        </is>
      </c>
      <c r="G105" s="15" t="inlineStr">
        <is>
          <t>Consumer Products and Services (B2C)</t>
        </is>
      </c>
      <c r="H105" s="16" t="inlineStr">
        <is>
          <t>Apparel and Accessories</t>
        </is>
      </c>
      <c r="I105" s="17" t="inlineStr">
        <is>
          <t>Clothing</t>
        </is>
      </c>
      <c r="J105" s="18" t="inlineStr">
        <is>
          <t>Clothing*; Distributors/Wholesale (B2C); Internet Retail</t>
        </is>
      </c>
      <c r="K105" s="19" t="inlineStr">
        <is>
          <t>E-Commerce</t>
        </is>
      </c>
      <c r="L105" s="20" t="inlineStr">
        <is>
          <t>Angel-Backed</t>
        </is>
      </c>
      <c r="M105" s="21" t="n">
        <v>2.13</v>
      </c>
      <c r="N105" s="22" t="inlineStr">
        <is>
          <t>Generating Revenue</t>
        </is>
      </c>
      <c r="O105" s="23" t="inlineStr">
        <is>
          <t>Privately Held (backing)</t>
        </is>
      </c>
      <c r="P105" s="24" t="inlineStr">
        <is>
          <t>Pre-venture</t>
        </is>
      </c>
      <c r="Q105" s="25" t="inlineStr">
        <is>
          <t>www.castore.co.uk</t>
        </is>
      </c>
      <c r="R105" s="26" t="n">
        <v>12.0</v>
      </c>
      <c r="S105" s="27" t="inlineStr">
        <is>
          <t/>
        </is>
      </c>
      <c r="T105" s="28" t="inlineStr">
        <is>
          <t/>
        </is>
      </c>
      <c r="U105" s="29" t="n">
        <v>2016.0</v>
      </c>
      <c r="V105" s="30" t="inlineStr">
        <is>
          <t/>
        </is>
      </c>
      <c r="W105" s="31" t="inlineStr">
        <is>
          <t/>
        </is>
      </c>
      <c r="X105" s="32" t="inlineStr">
        <is>
          <t/>
        </is>
      </c>
      <c r="Y105" s="33" t="n">
        <v>2.28771</v>
      </c>
      <c r="Z105" s="34" t="inlineStr">
        <is>
          <t/>
        </is>
      </c>
      <c r="AA105" s="35" t="inlineStr">
        <is>
          <t/>
        </is>
      </c>
      <c r="AB105" s="36" t="inlineStr">
        <is>
          <t/>
        </is>
      </c>
      <c r="AC105" s="37" t="inlineStr">
        <is>
          <t/>
        </is>
      </c>
      <c r="AD105" s="38" t="inlineStr">
        <is>
          <t>FY 2018</t>
        </is>
      </c>
      <c r="AE105" s="39" t="inlineStr">
        <is>
          <t>162690-94P</t>
        </is>
      </c>
      <c r="AF105" s="40" t="inlineStr">
        <is>
          <t>Philip Beahon</t>
        </is>
      </c>
      <c r="AG105" s="41" t="inlineStr">
        <is>
          <t>Co-Founder</t>
        </is>
      </c>
      <c r="AH105" s="42" t="inlineStr">
        <is>
          <t>philbeahon@jcartersportingclub.co.uk</t>
        </is>
      </c>
      <c r="AI105" s="43" t="inlineStr">
        <is>
          <t/>
        </is>
      </c>
      <c r="AJ105" s="44" t="inlineStr">
        <is>
          <t>Bebington, United Kingdom</t>
        </is>
      </c>
      <c r="AK105" s="45" t="inlineStr">
        <is>
          <t>31 Mayfield Road</t>
        </is>
      </c>
      <c r="AL105" s="46" t="inlineStr">
        <is>
          <t>Wirral</t>
        </is>
      </c>
      <c r="AM105" s="47" t="inlineStr">
        <is>
          <t>Bebington</t>
        </is>
      </c>
      <c r="AN105" s="48" t="inlineStr">
        <is>
          <t>England</t>
        </is>
      </c>
      <c r="AO105" s="49" t="inlineStr">
        <is>
          <t>CH63 3DT</t>
        </is>
      </c>
      <c r="AP105" s="50" t="inlineStr">
        <is>
          <t>United Kingdom</t>
        </is>
      </c>
      <c r="AQ105" s="51" t="inlineStr">
        <is>
          <t/>
        </is>
      </c>
      <c r="AR105" s="52" t="inlineStr">
        <is>
          <t/>
        </is>
      </c>
      <c r="AS105" s="53" t="inlineStr">
        <is>
          <t>info@castore.co.uk</t>
        </is>
      </c>
      <c r="AT105" s="54" t="inlineStr">
        <is>
          <t>Europe</t>
        </is>
      </c>
      <c r="AU105" s="55" t="inlineStr">
        <is>
          <t>Western Europe</t>
        </is>
      </c>
      <c r="AV105" s="56" t="inlineStr">
        <is>
          <t>The company raised GBP 1.2 million of angel funding from Tom Singh and other undisclosed investors on October 12, 2017. The funding will be used to further accelerate its international growth in its online platform as well as establishing physical hubs in key international markets including Hong Kong, Shanghai and New York.</t>
        </is>
      </c>
      <c r="AW105" s="57" t="inlineStr">
        <is>
          <t/>
        </is>
      </c>
      <c r="AX105" s="58" t="inlineStr">
        <is>
          <t/>
        </is>
      </c>
      <c r="AY105" s="59" t="inlineStr">
        <is>
          <t/>
        </is>
      </c>
      <c r="AZ105" s="60" t="inlineStr">
        <is>
          <t/>
        </is>
      </c>
      <c r="BA105" s="61" t="inlineStr">
        <is>
          <t/>
        </is>
      </c>
      <c r="BB105" s="62" t="inlineStr">
        <is>
          <t/>
        </is>
      </c>
      <c r="BC105" s="63" t="inlineStr">
        <is>
          <t/>
        </is>
      </c>
      <c r="BD105" s="64" t="inlineStr">
        <is>
          <t/>
        </is>
      </c>
      <c r="BE105" s="65" t="inlineStr">
        <is>
          <t/>
        </is>
      </c>
      <c r="BF105" s="66" t="inlineStr">
        <is>
          <t>Virgin StartUp (Debt Financing)</t>
        </is>
      </c>
      <c r="BG105" s="67" t="n">
        <v>42370.0</v>
      </c>
      <c r="BH105" s="68" t="n">
        <v>0.07</v>
      </c>
      <c r="BI105" s="69" t="inlineStr">
        <is>
          <t>Actual</t>
        </is>
      </c>
      <c r="BJ105" s="70" t="inlineStr">
        <is>
          <t/>
        </is>
      </c>
      <c r="BK105" s="71" t="inlineStr">
        <is>
          <t/>
        </is>
      </c>
      <c r="BL105" s="72" t="inlineStr">
        <is>
          <t>Debt - General</t>
        </is>
      </c>
      <c r="BM105" s="73" t="inlineStr">
        <is>
          <t>Loan</t>
        </is>
      </c>
      <c r="BN105" s="74" t="inlineStr">
        <is>
          <t/>
        </is>
      </c>
      <c r="BO105" s="75" t="inlineStr">
        <is>
          <t>Debt</t>
        </is>
      </c>
      <c r="BP105" s="76" t="inlineStr">
        <is>
          <t>Loan</t>
        </is>
      </c>
      <c r="BQ105" s="77" t="inlineStr">
        <is>
          <t/>
        </is>
      </c>
      <c r="BR105" s="78" t="inlineStr">
        <is>
          <t/>
        </is>
      </c>
      <c r="BS105" s="79" t="inlineStr">
        <is>
          <t>Completed</t>
        </is>
      </c>
      <c r="BT105" s="80" t="n">
        <v>43020.0</v>
      </c>
      <c r="BU105" s="81" t="n">
        <v>1.35</v>
      </c>
      <c r="BV105" s="82" t="inlineStr">
        <is>
          <t>Actual</t>
        </is>
      </c>
      <c r="BW105" s="83" t="inlineStr">
        <is>
          <t/>
        </is>
      </c>
      <c r="BX105" s="84" t="inlineStr">
        <is>
          <t/>
        </is>
      </c>
      <c r="BY105" s="85" t="inlineStr">
        <is>
          <t>Angel (individual)</t>
        </is>
      </c>
      <c r="BZ105" s="86" t="inlineStr">
        <is>
          <t>Angel</t>
        </is>
      </c>
      <c r="CA105" s="87" t="inlineStr">
        <is>
          <t/>
        </is>
      </c>
      <c r="CB105" s="88" t="inlineStr">
        <is>
          <t>Individual</t>
        </is>
      </c>
      <c r="CC105" s="89" t="inlineStr">
        <is>
          <t/>
        </is>
      </c>
      <c r="CD105" s="90" t="inlineStr">
        <is>
          <t/>
        </is>
      </c>
      <c r="CE105" s="91" t="inlineStr">
        <is>
          <t/>
        </is>
      </c>
      <c r="CF105" s="92" t="inlineStr">
        <is>
          <t>Completed</t>
        </is>
      </c>
      <c r="CG105" s="93" t="inlineStr">
        <is>
          <t>3,90%</t>
        </is>
      </c>
      <c r="CH105" s="94" t="inlineStr">
        <is>
          <t>99</t>
        </is>
      </c>
      <c r="CI105" s="95" t="inlineStr">
        <is>
          <t>-0,03%</t>
        </is>
      </c>
      <c r="CJ105" s="96" t="inlineStr">
        <is>
          <t>-0,72%</t>
        </is>
      </c>
      <c r="CK105" s="97" t="inlineStr">
        <is>
          <t>-3,36%</t>
        </is>
      </c>
      <c r="CL105" s="98" t="inlineStr">
        <is>
          <t>11</t>
        </is>
      </c>
      <c r="CM105" s="99" t="inlineStr">
        <is>
          <t>9,71%</t>
        </is>
      </c>
      <c r="CN105" s="100" t="inlineStr">
        <is>
          <t>100</t>
        </is>
      </c>
      <c r="CO105" s="101" t="inlineStr">
        <is>
          <t>-6,71%</t>
        </is>
      </c>
      <c r="CP105" s="102" t="inlineStr">
        <is>
          <t>18</t>
        </is>
      </c>
      <c r="CQ105" s="103" t="inlineStr">
        <is>
          <t>0,00%</t>
        </is>
      </c>
      <c r="CR105" s="104" t="inlineStr">
        <is>
          <t>20</t>
        </is>
      </c>
      <c r="CS105" s="105" t="inlineStr">
        <is>
          <t>1,98%</t>
        </is>
      </c>
      <c r="CT105" s="106" t="inlineStr">
        <is>
          <t>98</t>
        </is>
      </c>
      <c r="CU105" s="107" t="inlineStr">
        <is>
          <t>17,44%</t>
        </is>
      </c>
      <c r="CV105" s="108" t="inlineStr">
        <is>
          <t>100</t>
        </is>
      </c>
      <c r="CW105" s="109" t="inlineStr">
        <is>
          <t>1,25x</t>
        </is>
      </c>
      <c r="CX105" s="110" t="inlineStr">
        <is>
          <t>54</t>
        </is>
      </c>
      <c r="CY105" s="111" t="inlineStr">
        <is>
          <t>-0,01x</t>
        </is>
      </c>
      <c r="CZ105" s="112" t="inlineStr">
        <is>
          <t>-0,49%</t>
        </is>
      </c>
      <c r="DA105" s="113" t="inlineStr">
        <is>
          <t>0,53x</t>
        </is>
      </c>
      <c r="DB105" s="114" t="inlineStr">
        <is>
          <t>36</t>
        </is>
      </c>
      <c r="DC105" s="115" t="inlineStr">
        <is>
          <t>3,17x</t>
        </is>
      </c>
      <c r="DD105" s="116" t="inlineStr">
        <is>
          <t>70</t>
        </is>
      </c>
      <c r="DE105" s="117" t="inlineStr">
        <is>
          <t>0,87x</t>
        </is>
      </c>
      <c r="DF105" s="118" t="inlineStr">
        <is>
          <t>47</t>
        </is>
      </c>
      <c r="DG105" s="119" t="inlineStr">
        <is>
          <t>0,19x</t>
        </is>
      </c>
      <c r="DH105" s="120" t="inlineStr">
        <is>
          <t>18</t>
        </is>
      </c>
      <c r="DI105" s="121" t="inlineStr">
        <is>
          <t>1,96x</t>
        </is>
      </c>
      <c r="DJ105" s="122" t="inlineStr">
        <is>
          <t>62</t>
        </is>
      </c>
      <c r="DK105" s="123" t="inlineStr">
        <is>
          <t>4,37x</t>
        </is>
      </c>
      <c r="DL105" s="124" t="inlineStr">
        <is>
          <t>77</t>
        </is>
      </c>
      <c r="DM105" s="125" t="inlineStr">
        <is>
          <t>330</t>
        </is>
      </c>
      <c r="DN105" s="126" t="inlineStr">
        <is>
          <t>-42</t>
        </is>
      </c>
      <c r="DO105" s="127" t="inlineStr">
        <is>
          <t>-11,29%</t>
        </is>
      </c>
      <c r="DP105" s="128" t="inlineStr">
        <is>
          <t>1.547</t>
        </is>
      </c>
      <c r="DQ105" s="129" t="inlineStr">
        <is>
          <t>34</t>
        </is>
      </c>
      <c r="DR105" s="130" t="inlineStr">
        <is>
          <t>2,25%</t>
        </is>
      </c>
      <c r="DS105" s="131" t="inlineStr">
        <is>
          <t>7</t>
        </is>
      </c>
      <c r="DT105" s="132" t="inlineStr">
        <is>
          <t>0</t>
        </is>
      </c>
      <c r="DU105" s="133" t="inlineStr">
        <is>
          <t>0,00%</t>
        </is>
      </c>
      <c r="DV105" s="134" t="inlineStr">
        <is>
          <t>1.599</t>
        </is>
      </c>
      <c r="DW105" s="135" t="inlineStr">
        <is>
          <t>-68</t>
        </is>
      </c>
      <c r="DX105" s="136" t="inlineStr">
        <is>
          <t>-4,08%</t>
        </is>
      </c>
      <c r="DY105" s="137" t="inlineStr">
        <is>
          <t>PitchBook Research</t>
        </is>
      </c>
      <c r="DZ105" s="785">
        <f>HYPERLINK("https://my.pitchbook.com?c=180720-10", "View company online")</f>
      </c>
    </row>
    <row r="106">
      <c r="A106" s="139" t="inlineStr">
        <is>
          <t>222408-01</t>
        </is>
      </c>
      <c r="B106" s="140" t="inlineStr">
        <is>
          <t>MindTrace</t>
        </is>
      </c>
      <c r="C106" s="141" t="inlineStr">
        <is>
          <t>NGISTIC</t>
        </is>
      </c>
      <c r="D106" s="142" t="inlineStr">
        <is>
          <t/>
        </is>
      </c>
      <c r="E106" s="143" t="inlineStr">
        <is>
          <t>222408-01</t>
        </is>
      </c>
      <c r="F106" s="144" t="inlineStr">
        <is>
          <t>Developer of artificial intelligence systems. The company is developing intelligent machines capable of unsupervised learning and could have applications including data management, cyber security and systems for autonomous vehicles. It is currently in stealth mode.</t>
        </is>
      </c>
      <c r="G106" s="145" t="inlineStr">
        <is>
          <t>Business Products and Services (B2B)</t>
        </is>
      </c>
      <c r="H106" s="146" t="inlineStr">
        <is>
          <t>Other Business Products and Services</t>
        </is>
      </c>
      <c r="I106" s="147" t="inlineStr">
        <is>
          <t>Other Business Products and Services</t>
        </is>
      </c>
      <c r="J106" s="148" t="inlineStr">
        <is>
          <t>Other Business Products and Services*; Other Consumer Products and Services</t>
        </is>
      </c>
      <c r="K106" s="149" t="inlineStr">
        <is>
          <t>AdTech, Artificial Intelligence &amp; Machine Learning, Marketing Tech</t>
        </is>
      </c>
      <c r="L106" s="150" t="inlineStr">
        <is>
          <t>Venture Capital-Backed</t>
        </is>
      </c>
      <c r="M106" s="151" t="n">
        <v>2.16</v>
      </c>
      <c r="N106" s="152" t="inlineStr">
        <is>
          <t>Stealth</t>
        </is>
      </c>
      <c r="O106" s="153" t="inlineStr">
        <is>
          <t>Privately Held (backing)</t>
        </is>
      </c>
      <c r="P106" s="154" t="inlineStr">
        <is>
          <t>Venture Capital</t>
        </is>
      </c>
      <c r="Q106" s="155" t="inlineStr">
        <is>
          <t/>
        </is>
      </c>
      <c r="R106" s="156" t="inlineStr">
        <is>
          <t/>
        </is>
      </c>
      <c r="S106" s="157" t="inlineStr">
        <is>
          <t/>
        </is>
      </c>
      <c r="T106" s="158" t="inlineStr">
        <is>
          <t/>
        </is>
      </c>
      <c r="U106" s="159" t="n">
        <v>2017.0</v>
      </c>
      <c r="V106" s="160" t="inlineStr">
        <is>
          <t/>
        </is>
      </c>
      <c r="W106" s="161" t="inlineStr">
        <is>
          <r>
            <rPr>
              <b/>
              <color rgb="ff26854d"/>
              <rFont val="Arial"/>
              <sz val="8.0"/>
            </rPr>
            <t>News</t>
          </r>
          <r>
            <rPr>
              <color rgb="ff707070"/>
              <rFont val="Arial"/>
              <sz val="7.0"/>
            </rPr>
            <t xml:space="preserve"> NEW  </t>
          </r>
        </is>
      </c>
      <c r="X106" s="162" t="inlineStr">
        <is>
          <r>
            <rPr>
              <b/>
              <color rgb="ff26854d"/>
              <rFont val="Arial"/>
              <sz val="8.0"/>
            </rPr>
            <t>New Company</t>
          </r>
        </is>
      </c>
      <c r="Y106" s="163" t="inlineStr">
        <is>
          <t/>
        </is>
      </c>
      <c r="Z106" s="164" t="inlineStr">
        <is>
          <t/>
        </is>
      </c>
      <c r="AA106" s="165" t="inlineStr">
        <is>
          <t/>
        </is>
      </c>
      <c r="AB106" s="166" t="inlineStr">
        <is>
          <t/>
        </is>
      </c>
      <c r="AC106" s="167" t="inlineStr">
        <is>
          <t/>
        </is>
      </c>
      <c r="AD106" s="168" t="inlineStr">
        <is>
          <t/>
        </is>
      </c>
      <c r="AE106" s="169" t="inlineStr">
        <is>
          <t>44848-45P</t>
        </is>
      </c>
      <c r="AF106" s="170" t="inlineStr">
        <is>
          <t>Hossein Yassaie</t>
        </is>
      </c>
      <c r="AG106" s="171" t="inlineStr">
        <is>
          <t>Chairman</t>
        </is>
      </c>
      <c r="AH106" s="172" t="inlineStr">
        <is>
          <t/>
        </is>
      </c>
      <c r="AI106" s="173" t="inlineStr">
        <is>
          <t>+44 (0)11 7325 9002</t>
        </is>
      </c>
      <c r="AJ106" s="174" t="inlineStr">
        <is>
          <t>Salford, United Kingdom</t>
        </is>
      </c>
      <c r="AK106" s="175" t="inlineStr">
        <is>
          <t>13-15 Brewery Yard Deva City Office Park, Trinity Way</t>
        </is>
      </c>
      <c r="AL106" s="176" t="inlineStr">
        <is>
          <t/>
        </is>
      </c>
      <c r="AM106" s="177" t="inlineStr">
        <is>
          <t>Salford</t>
        </is>
      </c>
      <c r="AN106" s="178" t="inlineStr">
        <is>
          <t>England</t>
        </is>
      </c>
      <c r="AO106" s="179" t="inlineStr">
        <is>
          <t>M3 7BB</t>
        </is>
      </c>
      <c r="AP106" s="180" t="inlineStr">
        <is>
          <t>United Kingdom</t>
        </is>
      </c>
      <c r="AQ106" s="181" t="inlineStr">
        <is>
          <t/>
        </is>
      </c>
      <c r="AR106" s="182" t="inlineStr">
        <is>
          <t/>
        </is>
      </c>
      <c r="AS106" s="183" t="inlineStr">
        <is>
          <t/>
        </is>
      </c>
      <c r="AT106" s="184" t="inlineStr">
        <is>
          <t>Europe</t>
        </is>
      </c>
      <c r="AU106" s="185" t="inlineStr">
        <is>
          <t>Western Europe</t>
        </is>
      </c>
      <c r="AV106" s="186" t="inlineStr">
        <is>
          <t>The company raised GBP 625,000 of venture funding from Enterprise Ventures and other undisclosed investors on November 6, 2017.</t>
        </is>
      </c>
      <c r="AW106" s="187" t="inlineStr">
        <is>
          <t>Accelerated Digital Ventures, Enterprise Ventures, Northern Powerhouse Investment Fund</t>
        </is>
      </c>
      <c r="AX106" s="188" t="n">
        <v>3.0</v>
      </c>
      <c r="AY106" s="189" t="inlineStr">
        <is>
          <t/>
        </is>
      </c>
      <c r="AZ106" s="190" t="inlineStr">
        <is>
          <t/>
        </is>
      </c>
      <c r="BA106" s="191" t="inlineStr">
        <is>
          <t/>
        </is>
      </c>
      <c r="BB106" s="192" t="inlineStr">
        <is>
          <t>Accelerated Digital Ventures (www.accelerated.ventures), Enterprise Ventures (www.evgroup.uk.com), Northern Powerhouse Investment Fund (www.npif.co.uk)</t>
        </is>
      </c>
      <c r="BC106" s="193" t="inlineStr">
        <is>
          <t/>
        </is>
      </c>
      <c r="BD106" s="194" t="inlineStr">
        <is>
          <t/>
        </is>
      </c>
      <c r="BE106" s="195" t="inlineStr">
        <is>
          <t/>
        </is>
      </c>
      <c r="BF106" s="196" t="inlineStr">
        <is>
          <t/>
        </is>
      </c>
      <c r="BG106" s="197" t="n">
        <v>43045.0</v>
      </c>
      <c r="BH106" s="198" t="n">
        <v>2.16</v>
      </c>
      <c r="BI106" s="199" t="inlineStr">
        <is>
          <t>Actual</t>
        </is>
      </c>
      <c r="BJ106" s="200" t="inlineStr">
        <is>
          <t/>
        </is>
      </c>
      <c r="BK106" s="201" t="inlineStr">
        <is>
          <t/>
        </is>
      </c>
      <c r="BL106" s="202" t="inlineStr">
        <is>
          <t>Early Stage VC</t>
        </is>
      </c>
      <c r="BM106" s="203" t="inlineStr">
        <is>
          <t/>
        </is>
      </c>
      <c r="BN106" s="204" t="inlineStr">
        <is>
          <t/>
        </is>
      </c>
      <c r="BO106" s="205" t="inlineStr">
        <is>
          <t>Venture Capital</t>
        </is>
      </c>
      <c r="BP106" s="206" t="inlineStr">
        <is>
          <t/>
        </is>
      </c>
      <c r="BQ106" s="207" t="inlineStr">
        <is>
          <t/>
        </is>
      </c>
      <c r="BR106" s="208" t="inlineStr">
        <is>
          <t/>
        </is>
      </c>
      <c r="BS106" s="209" t="inlineStr">
        <is>
          <t>Completed</t>
        </is>
      </c>
      <c r="BT106" s="210" t="inlineStr">
        <is>
          <t/>
        </is>
      </c>
      <c r="BU106" s="211" t="inlineStr">
        <is>
          <t/>
        </is>
      </c>
      <c r="BV106" s="212" t="inlineStr">
        <is>
          <t/>
        </is>
      </c>
      <c r="BW106" s="213" t="inlineStr">
        <is>
          <t/>
        </is>
      </c>
      <c r="BX106" s="214" t="inlineStr">
        <is>
          <t/>
        </is>
      </c>
      <c r="BY106" s="215" t="inlineStr">
        <is>
          <t>Early Stage VC</t>
        </is>
      </c>
      <c r="BZ106" s="216" t="inlineStr">
        <is>
          <t>Series A</t>
        </is>
      </c>
      <c r="CA106" s="217" t="inlineStr">
        <is>
          <t/>
        </is>
      </c>
      <c r="CB106" s="218" t="inlineStr">
        <is>
          <t>Venture Capital</t>
        </is>
      </c>
      <c r="CC106" s="219" t="inlineStr">
        <is>
          <t/>
        </is>
      </c>
      <c r="CD106" s="220" t="inlineStr">
        <is>
          <t/>
        </is>
      </c>
      <c r="CE106" s="221" t="inlineStr">
        <is>
          <t/>
        </is>
      </c>
      <c r="CF106" s="222" t="inlineStr">
        <is>
          <t>Upcoming</t>
        </is>
      </c>
      <c r="CG106" s="223" t="inlineStr">
        <is>
          <t/>
        </is>
      </c>
      <c r="CH106" s="224" t="inlineStr">
        <is>
          <t/>
        </is>
      </c>
      <c r="CI106" s="225" t="inlineStr">
        <is>
          <t/>
        </is>
      </c>
      <c r="CJ106" s="226" t="inlineStr">
        <is>
          <t/>
        </is>
      </c>
      <c r="CK106" s="227" t="inlineStr">
        <is>
          <t/>
        </is>
      </c>
      <c r="CL106" s="228" t="inlineStr">
        <is>
          <t/>
        </is>
      </c>
      <c r="CM106" s="229" t="inlineStr">
        <is>
          <t/>
        </is>
      </c>
      <c r="CN106" s="230" t="inlineStr">
        <is>
          <t/>
        </is>
      </c>
      <c r="CO106" s="231" t="inlineStr">
        <is>
          <t/>
        </is>
      </c>
      <c r="CP106" s="232" t="inlineStr">
        <is>
          <t/>
        </is>
      </c>
      <c r="CQ106" s="233" t="inlineStr">
        <is>
          <t/>
        </is>
      </c>
      <c r="CR106" s="234" t="inlineStr">
        <is>
          <t/>
        </is>
      </c>
      <c r="CS106" s="235" t="inlineStr">
        <is>
          <t/>
        </is>
      </c>
      <c r="CT106" s="236" t="inlineStr">
        <is>
          <t/>
        </is>
      </c>
      <c r="CU106" s="237" t="inlineStr">
        <is>
          <t/>
        </is>
      </c>
      <c r="CV106" s="238" t="inlineStr">
        <is>
          <t/>
        </is>
      </c>
      <c r="CW106" s="239" t="inlineStr">
        <is>
          <t/>
        </is>
      </c>
      <c r="CX106" s="240" t="inlineStr">
        <is>
          <t/>
        </is>
      </c>
      <c r="CY106" s="241" t="inlineStr">
        <is>
          <t/>
        </is>
      </c>
      <c r="CZ106" s="242" t="inlineStr">
        <is>
          <t/>
        </is>
      </c>
      <c r="DA106" s="243" t="inlineStr">
        <is>
          <t/>
        </is>
      </c>
      <c r="DB106" s="244" t="inlineStr">
        <is>
          <t/>
        </is>
      </c>
      <c r="DC106" s="245" t="inlineStr">
        <is>
          <t/>
        </is>
      </c>
      <c r="DD106" s="246" t="inlineStr">
        <is>
          <t/>
        </is>
      </c>
      <c r="DE106" s="247" t="inlineStr">
        <is>
          <t/>
        </is>
      </c>
      <c r="DF106" s="248" t="inlineStr">
        <is>
          <t/>
        </is>
      </c>
      <c r="DG106" s="249" t="inlineStr">
        <is>
          <t/>
        </is>
      </c>
      <c r="DH106" s="250" t="inlineStr">
        <is>
          <t/>
        </is>
      </c>
      <c r="DI106" s="251" t="inlineStr">
        <is>
          <t/>
        </is>
      </c>
      <c r="DJ106" s="252" t="inlineStr">
        <is>
          <t/>
        </is>
      </c>
      <c r="DK106" s="253" t="inlineStr">
        <is>
          <t/>
        </is>
      </c>
      <c r="DL106" s="254" t="inlineStr">
        <is>
          <t/>
        </is>
      </c>
      <c r="DM106" s="255" t="inlineStr">
        <is>
          <t/>
        </is>
      </c>
      <c r="DN106" s="256" t="inlineStr">
        <is>
          <t/>
        </is>
      </c>
      <c r="DO106" s="257" t="inlineStr">
        <is>
          <t/>
        </is>
      </c>
      <c r="DP106" s="258" t="inlineStr">
        <is>
          <t/>
        </is>
      </c>
      <c r="DQ106" s="259" t="inlineStr">
        <is>
          <t/>
        </is>
      </c>
      <c r="DR106" s="260" t="inlineStr">
        <is>
          <t/>
        </is>
      </c>
      <c r="DS106" s="261" t="inlineStr">
        <is>
          <t/>
        </is>
      </c>
      <c r="DT106" s="262" t="inlineStr">
        <is>
          <t/>
        </is>
      </c>
      <c r="DU106" s="263" t="inlineStr">
        <is>
          <t/>
        </is>
      </c>
      <c r="DV106" s="264" t="inlineStr">
        <is>
          <t/>
        </is>
      </c>
      <c r="DW106" s="265" t="inlineStr">
        <is>
          <t/>
        </is>
      </c>
      <c r="DX106" s="266" t="inlineStr">
        <is>
          <t/>
        </is>
      </c>
      <c r="DY106" s="267" t="inlineStr">
        <is>
          <t>PitchBook Research</t>
        </is>
      </c>
      <c r="DZ106" s="786">
        <f>HYPERLINK("https://my.pitchbook.com?c=222408-01", "View company online")</f>
      </c>
    </row>
    <row r="107">
      <c r="A107" s="9" t="inlineStr">
        <is>
          <t>117991-27</t>
        </is>
      </c>
      <c r="B107" s="10" t="inlineStr">
        <is>
          <t>Vitl</t>
        </is>
      </c>
      <c r="C107" s="11" t="inlineStr">
        <is>
          <t/>
        </is>
      </c>
      <c r="D107" s="12" t="inlineStr">
        <is>
          <t/>
        </is>
      </c>
      <c r="E107" s="13" t="inlineStr">
        <is>
          <t>117991-27</t>
        </is>
      </c>
      <c r="F107" s="14" t="inlineStr">
        <is>
          <t>Provider of a personalized nutrition platform intended to offer personalized consultation on health report and nutritional supplements. The company's personalized nutrition platform uses artificial intelligence to analyse users data and generate personalised recommendations on supplement and nutrition, enabling users to get insight into how they can proactively manage and improve their health and also tailored advice to achieve specific diet or lifestyle goal.</t>
        </is>
      </c>
      <c r="G107" s="15" t="inlineStr">
        <is>
          <t>Healthcare</t>
        </is>
      </c>
      <c r="H107" s="16" t="inlineStr">
        <is>
          <t>Other Healthcare</t>
        </is>
      </c>
      <c r="I107" s="17" t="inlineStr">
        <is>
          <t>Other Healthcare</t>
        </is>
      </c>
      <c r="J107" s="18" t="inlineStr">
        <is>
          <t>Other Healthcare*; Social/Platform Software</t>
        </is>
      </c>
      <c r="K107" s="19" t="inlineStr">
        <is>
          <t>Artificial Intelligence &amp; Machine Learning, LOHAS &amp; Wellness</t>
        </is>
      </c>
      <c r="L107" s="20" t="inlineStr">
        <is>
          <t>Venture Capital-Backed</t>
        </is>
      </c>
      <c r="M107" s="21" t="n">
        <v>2.18</v>
      </c>
      <c r="N107" s="22" t="inlineStr">
        <is>
          <t>Generating Revenue</t>
        </is>
      </c>
      <c r="O107" s="23" t="inlineStr">
        <is>
          <t>Privately Held (backing)</t>
        </is>
      </c>
      <c r="P107" s="24" t="inlineStr">
        <is>
          <t>Venture Capital</t>
        </is>
      </c>
      <c r="Q107" s="25" t="inlineStr">
        <is>
          <t>www.vitl.com</t>
        </is>
      </c>
      <c r="R107" s="26" t="n">
        <v>5.0</v>
      </c>
      <c r="S107" s="27" t="inlineStr">
        <is>
          <t/>
        </is>
      </c>
      <c r="T107" s="28" t="inlineStr">
        <is>
          <t/>
        </is>
      </c>
      <c r="U107" s="29" t="n">
        <v>2014.0</v>
      </c>
      <c r="V107" s="30" t="inlineStr">
        <is>
          <t/>
        </is>
      </c>
      <c r="W107" s="31" t="inlineStr">
        <is>
          <t/>
        </is>
      </c>
      <c r="X107" s="32" t="inlineStr">
        <is>
          <r>
            <rPr>
              <b/>
              <color rgb="ff26854d"/>
              <rFont val="Arial"/>
              <sz val="8.0"/>
            </rPr>
            <t>Deal</t>
          </r>
          <r>
            <rPr>
              <color rgb="ff707070"/>
              <rFont val="Arial"/>
              <sz val="7.0"/>
            </rPr>
            <t xml:space="preserve"> NEW  </t>
          </r>
          <r>
            <rPr>
              <color rgb="ff000000"/>
              <rFont val="Arial"/>
              <sz val="8.0"/>
            </rPr>
            <t>Early Stage VC, 2017</t>
          </r>
          <r>
            <rPr>
              <color rgb="ff707070"/>
              <rFont val="Arial"/>
              <sz val="7.0"/>
            </rPr>
            <t xml:space="preserve"> Completed</t>
          </r>
          <r>
            <rPr>
              <color rgb="ff000000"/>
              <rFont val="Arial"/>
              <sz val="8.0"/>
            </rPr>
            <t xml:space="preserve">
</t>
          </r>
          <r>
            <rPr>
              <b/>
              <color rgb="ff26854d"/>
              <rFont val="Arial"/>
              <sz val="8.0"/>
            </rPr>
            <t>News</t>
          </r>
          <r>
            <rPr>
              <color rgb="ff707070"/>
              <rFont val="Arial"/>
              <sz val="7.0"/>
            </rPr>
            <t xml:space="preserve"> NEW  </t>
          </r>
        </is>
      </c>
      <c r="Y107" s="33" t="inlineStr">
        <is>
          <t/>
        </is>
      </c>
      <c r="Z107" s="34" t="inlineStr">
        <is>
          <t/>
        </is>
      </c>
      <c r="AA107" s="35" t="inlineStr">
        <is>
          <t/>
        </is>
      </c>
      <c r="AB107" s="36" t="inlineStr">
        <is>
          <t/>
        </is>
      </c>
      <c r="AC107" s="37" t="inlineStr">
        <is>
          <t/>
        </is>
      </c>
      <c r="AD107" s="38" t="inlineStr">
        <is>
          <t/>
        </is>
      </c>
      <c r="AE107" s="39" t="inlineStr">
        <is>
          <t>125138-26P</t>
        </is>
      </c>
      <c r="AF107" s="40" t="inlineStr">
        <is>
          <t>Jonathan Relph</t>
        </is>
      </c>
      <c r="AG107" s="41" t="inlineStr">
        <is>
          <t>Co-Founder &amp; Chief Executive Officer</t>
        </is>
      </c>
      <c r="AH107" s="42" t="inlineStr">
        <is>
          <t>jonathan@vitl.com</t>
        </is>
      </c>
      <c r="AI107" s="43" t="inlineStr">
        <is>
          <t>+44 (0)20 3488 0747</t>
        </is>
      </c>
      <c r="AJ107" s="44" t="inlineStr">
        <is>
          <t>Farnham, United Kingdom</t>
        </is>
      </c>
      <c r="AK107" s="45" t="inlineStr">
        <is>
          <t>Wey Court West</t>
        </is>
      </c>
      <c r="AL107" s="46" t="inlineStr">
        <is>
          <t>Union Road</t>
        </is>
      </c>
      <c r="AM107" s="47" t="inlineStr">
        <is>
          <t>Farnham</t>
        </is>
      </c>
      <c r="AN107" s="48" t="inlineStr">
        <is>
          <t>England</t>
        </is>
      </c>
      <c r="AO107" s="49" t="inlineStr">
        <is>
          <t>GU9 7PT</t>
        </is>
      </c>
      <c r="AP107" s="50" t="inlineStr">
        <is>
          <t>United Kingdom</t>
        </is>
      </c>
      <c r="AQ107" s="51" t="inlineStr">
        <is>
          <t>+44 (0)20 3488 0747</t>
        </is>
      </c>
      <c r="AR107" s="52" t="inlineStr">
        <is>
          <t/>
        </is>
      </c>
      <c r="AS107" s="53" t="inlineStr">
        <is>
          <t>info@vitl.com</t>
        </is>
      </c>
      <c r="AT107" s="54" t="inlineStr">
        <is>
          <t>Europe</t>
        </is>
      </c>
      <c r="AU107" s="55" t="inlineStr">
        <is>
          <t>Western Europe</t>
        </is>
      </c>
      <c r="AV107" s="56" t="inlineStr">
        <is>
          <t>The company raised GBP 550,000 of venture funding in a deal led by Angel CoFund on November 27, 2017. Alex Chesterman and Simon Duffy also participated in the round. The funding will be used to expand functionality as well as broaden its product range to include meal plans and diagnostic services. Previously, the company raised GBP 1.15 million of seed funding from Alex Chesterman, David de Rothschild and Simon Franks on November 28, 2016, putting the company's pre-money valuation at GBP 4 million. Ben Stanway and other undisclosed investors also participated in the round.</t>
        </is>
      </c>
      <c r="AW107" s="57" t="inlineStr">
        <is>
          <t>Alex Chesterman, Angel CoFund, Ben Stanway, David de Rothschild, Samos Investments, Simon Duffy</t>
        </is>
      </c>
      <c r="AX107" s="58" t="n">
        <v>6.0</v>
      </c>
      <c r="AY107" s="59" t="inlineStr">
        <is>
          <t/>
        </is>
      </c>
      <c r="AZ107" s="60" t="inlineStr">
        <is>
          <t/>
        </is>
      </c>
      <c r="BA107" s="61" t="inlineStr">
        <is>
          <t/>
        </is>
      </c>
      <c r="BB107" s="62" t="inlineStr">
        <is>
          <t>Angel CoFund (www.angelcofund.co.uk), Samos Investments (www.samos.uk.com)</t>
        </is>
      </c>
      <c r="BC107" s="63" t="inlineStr">
        <is>
          <t/>
        </is>
      </c>
      <c r="BD107" s="64" t="inlineStr">
        <is>
          <t/>
        </is>
      </c>
      <c r="BE107" s="65" t="inlineStr">
        <is>
          <t/>
        </is>
      </c>
      <c r="BF107" s="66" t="inlineStr">
        <is>
          <t/>
        </is>
      </c>
      <c r="BG107" s="67" t="n">
        <v>42178.0</v>
      </c>
      <c r="BH107" s="68" t="n">
        <v>0.21</v>
      </c>
      <c r="BI107" s="69" t="inlineStr">
        <is>
          <t>Actual</t>
        </is>
      </c>
      <c r="BJ107" s="70" t="n">
        <v>2.11</v>
      </c>
      <c r="BK107" s="71" t="inlineStr">
        <is>
          <t>Actual</t>
        </is>
      </c>
      <c r="BL107" s="72" t="inlineStr">
        <is>
          <t>Angel (individual)</t>
        </is>
      </c>
      <c r="BM107" s="73" t="inlineStr">
        <is>
          <t>Angel</t>
        </is>
      </c>
      <c r="BN107" s="74" t="inlineStr">
        <is>
          <t/>
        </is>
      </c>
      <c r="BO107" s="75" t="inlineStr">
        <is>
          <t>Individual</t>
        </is>
      </c>
      <c r="BP107" s="76" t="inlineStr">
        <is>
          <t/>
        </is>
      </c>
      <c r="BQ107" s="77" t="inlineStr">
        <is>
          <t/>
        </is>
      </c>
      <c r="BR107" s="78" t="inlineStr">
        <is>
          <t/>
        </is>
      </c>
      <c r="BS107" s="79" t="inlineStr">
        <is>
          <t>Completed</t>
        </is>
      </c>
      <c r="BT107" s="80" t="n">
        <v>43066.0</v>
      </c>
      <c r="BU107" s="81" t="n">
        <v>0.62</v>
      </c>
      <c r="BV107" s="82" t="inlineStr">
        <is>
          <t>Actual</t>
        </is>
      </c>
      <c r="BW107" s="83" t="inlineStr">
        <is>
          <t/>
        </is>
      </c>
      <c r="BX107" s="84" t="inlineStr">
        <is>
          <t/>
        </is>
      </c>
      <c r="BY107" s="85" t="inlineStr">
        <is>
          <t>Early Stage VC</t>
        </is>
      </c>
      <c r="BZ107" s="86" t="inlineStr">
        <is>
          <t/>
        </is>
      </c>
      <c r="CA107" s="87" t="inlineStr">
        <is>
          <t/>
        </is>
      </c>
      <c r="CB107" s="88" t="inlineStr">
        <is>
          <t>Venture Capital</t>
        </is>
      </c>
      <c r="CC107" s="89" t="inlineStr">
        <is>
          <t/>
        </is>
      </c>
      <c r="CD107" s="90" t="inlineStr">
        <is>
          <t/>
        </is>
      </c>
      <c r="CE107" s="91" t="inlineStr">
        <is>
          <t/>
        </is>
      </c>
      <c r="CF107" s="92" t="inlineStr">
        <is>
          <t>Completed</t>
        </is>
      </c>
      <c r="CG107" s="93" t="inlineStr">
        <is>
          <t>-0,03%</t>
        </is>
      </c>
      <c r="CH107" s="94" t="inlineStr">
        <is>
          <t>28</t>
        </is>
      </c>
      <c r="CI107" s="95" t="inlineStr">
        <is>
          <t>-0,01%</t>
        </is>
      </c>
      <c r="CJ107" s="96" t="inlineStr">
        <is>
          <t>-24,45%</t>
        </is>
      </c>
      <c r="CK107" s="97" t="inlineStr">
        <is>
          <t>-0,04%</t>
        </is>
      </c>
      <c r="CL107" s="98" t="inlineStr">
        <is>
          <t>28</t>
        </is>
      </c>
      <c r="CM107" s="99" t="inlineStr">
        <is>
          <t>-0,02%</t>
        </is>
      </c>
      <c r="CN107" s="100" t="inlineStr">
        <is>
          <t>15</t>
        </is>
      </c>
      <c r="CO107" s="101" t="inlineStr">
        <is>
          <t>-0,08%</t>
        </is>
      </c>
      <c r="CP107" s="102" t="inlineStr">
        <is>
          <t>37</t>
        </is>
      </c>
      <c r="CQ107" s="103" t="inlineStr">
        <is>
          <t>0,00%</t>
        </is>
      </c>
      <c r="CR107" s="104" t="inlineStr">
        <is>
          <t>20</t>
        </is>
      </c>
      <c r="CS107" s="105" t="inlineStr">
        <is>
          <t>0,11%</t>
        </is>
      </c>
      <c r="CT107" s="106" t="inlineStr">
        <is>
          <t>58</t>
        </is>
      </c>
      <c r="CU107" s="107" t="inlineStr">
        <is>
          <t>-0,15%</t>
        </is>
      </c>
      <c r="CV107" s="108" t="inlineStr">
        <is>
          <t>5</t>
        </is>
      </c>
      <c r="CW107" s="109" t="inlineStr">
        <is>
          <t>8,89x</t>
        </is>
      </c>
      <c r="CX107" s="110" t="inlineStr">
        <is>
          <t>87</t>
        </is>
      </c>
      <c r="CY107" s="111" t="inlineStr">
        <is>
          <t>-0,07x</t>
        </is>
      </c>
      <c r="CZ107" s="112" t="inlineStr">
        <is>
          <t>-0,82%</t>
        </is>
      </c>
      <c r="DA107" s="113" t="inlineStr">
        <is>
          <t>4,19x</t>
        </is>
      </c>
      <c r="DB107" s="114" t="inlineStr">
        <is>
          <t>79</t>
        </is>
      </c>
      <c r="DC107" s="115" t="inlineStr">
        <is>
          <t>13,58x</t>
        </is>
      </c>
      <c r="DD107" s="116" t="inlineStr">
        <is>
          <t>87</t>
        </is>
      </c>
      <c r="DE107" s="117" t="inlineStr">
        <is>
          <t>7,88x</t>
        </is>
      </c>
      <c r="DF107" s="118" t="inlineStr">
        <is>
          <t>86</t>
        </is>
      </c>
      <c r="DG107" s="119" t="inlineStr">
        <is>
          <t>0,50x</t>
        </is>
      </c>
      <c r="DH107" s="120" t="inlineStr">
        <is>
          <t>35</t>
        </is>
      </c>
      <c r="DI107" s="121" t="inlineStr">
        <is>
          <t>15,69x</t>
        </is>
      </c>
      <c r="DJ107" s="122" t="inlineStr">
        <is>
          <t>85</t>
        </is>
      </c>
      <c r="DK107" s="123" t="inlineStr">
        <is>
          <t>11,47x</t>
        </is>
      </c>
      <c r="DL107" s="124" t="inlineStr">
        <is>
          <t>88</t>
        </is>
      </c>
      <c r="DM107" s="125" t="inlineStr">
        <is>
          <t>2.932</t>
        </is>
      </c>
      <c r="DN107" s="126" t="inlineStr">
        <is>
          <t>-29</t>
        </is>
      </c>
      <c r="DO107" s="127" t="inlineStr">
        <is>
          <t>-0,98%</t>
        </is>
      </c>
      <c r="DP107" s="128" t="inlineStr">
        <is>
          <t>12.429</t>
        </is>
      </c>
      <c r="DQ107" s="129" t="inlineStr">
        <is>
          <t>-8</t>
        </is>
      </c>
      <c r="DR107" s="130" t="inlineStr">
        <is>
          <t>-0,06%</t>
        </is>
      </c>
      <c r="DS107" s="131" t="inlineStr">
        <is>
          <t>18</t>
        </is>
      </c>
      <c r="DT107" s="132" t="inlineStr">
        <is>
          <t>-1</t>
        </is>
      </c>
      <c r="DU107" s="133" t="inlineStr">
        <is>
          <t>-5,26%</t>
        </is>
      </c>
      <c r="DV107" s="134" t="inlineStr">
        <is>
          <t>4.292</t>
        </is>
      </c>
      <c r="DW107" s="135" t="inlineStr">
        <is>
          <t>-5</t>
        </is>
      </c>
      <c r="DX107" s="136" t="inlineStr">
        <is>
          <t>-0,12%</t>
        </is>
      </c>
      <c r="DY107" s="137" t="inlineStr">
        <is>
          <t>PitchBook Research</t>
        </is>
      </c>
      <c r="DZ107" s="785">
        <f>HYPERLINK("https://my.pitchbook.com?c=117991-27", "View company online")</f>
      </c>
    </row>
    <row r="108">
      <c r="A108" s="139" t="inlineStr">
        <is>
          <t>90744-13</t>
        </is>
      </c>
      <c r="B108" s="140" t="inlineStr">
        <is>
          <t>Tespack</t>
        </is>
      </c>
      <c r="C108" s="141" t="inlineStr">
        <is>
          <t/>
        </is>
      </c>
      <c r="D108" s="142" t="inlineStr">
        <is>
          <t/>
        </is>
      </c>
      <c r="E108" s="143" t="inlineStr">
        <is>
          <t>90744-13</t>
        </is>
      </c>
      <c r="F108" s="144" t="inlineStr">
        <is>
          <t>Developer of mobile energy technologies designed to make everyone energy independent. The company's mobile energy products provide a complete mobile energy experience by combining the latest ultra-fast charging technology, solar energy and IoT with premium design, enabling users to collect store and use energy and keep all their devices charged.</t>
        </is>
      </c>
      <c r="G108" s="145" t="inlineStr">
        <is>
          <t>Energy</t>
        </is>
      </c>
      <c r="H108" s="146" t="inlineStr">
        <is>
          <t>Energy Services</t>
        </is>
      </c>
      <c r="I108" s="147" t="inlineStr">
        <is>
          <t>Energy Storage</t>
        </is>
      </c>
      <c r="J108" s="148" t="inlineStr">
        <is>
          <t>Energy Storage*; Electronics (B2C)</t>
        </is>
      </c>
      <c r="K108" s="149" t="inlineStr">
        <is>
          <t>CleanTech, Internet of Things, Wearables &amp; Quantified Self</t>
        </is>
      </c>
      <c r="L108" s="150" t="inlineStr">
        <is>
          <t>Venture Capital-Backed</t>
        </is>
      </c>
      <c r="M108" s="151" t="n">
        <v>2.22</v>
      </c>
      <c r="N108" s="152" t="inlineStr">
        <is>
          <t>Profitable</t>
        </is>
      </c>
      <c r="O108" s="153" t="inlineStr">
        <is>
          <t>Privately Held (backing)</t>
        </is>
      </c>
      <c r="P108" s="154" t="inlineStr">
        <is>
          <t>Venture Capital</t>
        </is>
      </c>
      <c r="Q108" s="155" t="inlineStr">
        <is>
          <t>www.tespack.com</t>
        </is>
      </c>
      <c r="R108" s="156" t="n">
        <v>17.0</v>
      </c>
      <c r="S108" s="157" t="inlineStr">
        <is>
          <t/>
        </is>
      </c>
      <c r="T108" s="158" t="inlineStr">
        <is>
          <t/>
        </is>
      </c>
      <c r="U108" s="159" t="n">
        <v>2013.0</v>
      </c>
      <c r="V108" s="160" t="inlineStr">
        <is>
          <t/>
        </is>
      </c>
      <c r="W108" s="161" t="inlineStr">
        <is>
          <t/>
        </is>
      </c>
      <c r="X108" s="162" t="inlineStr">
        <is>
          <t/>
        </is>
      </c>
      <c r="Y108" s="163" t="n">
        <v>0.04594</v>
      </c>
      <c r="Z108" s="164" t="inlineStr">
        <is>
          <t/>
        </is>
      </c>
      <c r="AA108" s="165" t="n">
        <v>-0.01837</v>
      </c>
      <c r="AB108" s="166" t="inlineStr">
        <is>
          <t/>
        </is>
      </c>
      <c r="AC108" s="167" t="inlineStr">
        <is>
          <t/>
        </is>
      </c>
      <c r="AD108" s="168" t="inlineStr">
        <is>
          <t>FY 2015</t>
        </is>
      </c>
      <c r="AE108" s="169" t="inlineStr">
        <is>
          <t>100796-95P</t>
        </is>
      </c>
      <c r="AF108" s="170" t="inlineStr">
        <is>
          <t>Mario Aguilera</t>
        </is>
      </c>
      <c r="AG108" s="171" t="inlineStr">
        <is>
          <t>Chief Executive Officer &amp; Co-Founder</t>
        </is>
      </c>
      <c r="AH108" s="172" t="inlineStr">
        <is>
          <t>mario.aguilera@tespack.com</t>
        </is>
      </c>
      <c r="AI108" s="173" t="inlineStr">
        <is>
          <t>+358 (0)44 974 8727</t>
        </is>
      </c>
      <c r="AJ108" s="174" t="inlineStr">
        <is>
          <t>Helsinki, Finland</t>
        </is>
      </c>
      <c r="AK108" s="175" t="inlineStr">
        <is>
          <t>Kuortaneenkatu 2</t>
        </is>
      </c>
      <c r="AL108" s="176" t="inlineStr">
        <is>
          <t>5th Floor</t>
        </is>
      </c>
      <c r="AM108" s="177" t="inlineStr">
        <is>
          <t>Helsinki</t>
        </is>
      </c>
      <c r="AN108" s="178" t="inlineStr">
        <is>
          <t/>
        </is>
      </c>
      <c r="AO108" s="179" t="inlineStr">
        <is>
          <t>00510</t>
        </is>
      </c>
      <c r="AP108" s="180" t="inlineStr">
        <is>
          <t>Finland</t>
        </is>
      </c>
      <c r="AQ108" s="181" t="inlineStr">
        <is>
          <t>+358 (0)44 974 8727</t>
        </is>
      </c>
      <c r="AR108" s="182" t="inlineStr">
        <is>
          <t/>
        </is>
      </c>
      <c r="AS108" s="183" t="inlineStr">
        <is>
          <t>info@tespack.com</t>
        </is>
      </c>
      <c r="AT108" s="184" t="inlineStr">
        <is>
          <t>Europe</t>
        </is>
      </c>
      <c r="AU108" s="185" t="inlineStr">
        <is>
          <t>Northern Europe</t>
        </is>
      </c>
      <c r="AV108" s="186" t="inlineStr">
        <is>
          <t>The company raised EUR 2 million of venture funding in a deal led by WOW Ventures on September 26, 2017. Neal Dempsey also participated in the round. The funds will be used to prototype new products in the internet of things space and expand into the MENASA (Middle East, North Africa and South Asia) region.</t>
        </is>
      </c>
      <c r="AW108" s="187" t="inlineStr">
        <is>
          <t>Arkley Venture Capital, Startupbootcamp, WOW Ventures (Saudi Arabia)</t>
        </is>
      </c>
      <c r="AX108" s="188" t="n">
        <v>3.0</v>
      </c>
      <c r="AY108" s="189" t="inlineStr">
        <is>
          <t/>
        </is>
      </c>
      <c r="AZ108" s="190" t="inlineStr">
        <is>
          <t/>
        </is>
      </c>
      <c r="BA108" s="191" t="inlineStr">
        <is>
          <t/>
        </is>
      </c>
      <c r="BB108" s="192" t="inlineStr">
        <is>
          <t>Arkley Venture Capital (www.arkley.vc), Startupbootcamp (www.startupbootcamp.org)</t>
        </is>
      </c>
      <c r="BC108" s="193" t="inlineStr">
        <is>
          <t/>
        </is>
      </c>
      <c r="BD108" s="194" t="inlineStr">
        <is>
          <t/>
        </is>
      </c>
      <c r="BE108" s="195" t="inlineStr">
        <is>
          <t/>
        </is>
      </c>
      <c r="BF108" s="196" t="inlineStr">
        <is>
          <t>Ingen Housz (Advisor: General)</t>
        </is>
      </c>
      <c r="BG108" s="197" t="n">
        <v>42101.0</v>
      </c>
      <c r="BH108" s="198" t="n">
        <v>0.02</v>
      </c>
      <c r="BI108" s="199" t="inlineStr">
        <is>
          <t>Actual</t>
        </is>
      </c>
      <c r="BJ108" s="200" t="inlineStr">
        <is>
          <t/>
        </is>
      </c>
      <c r="BK108" s="201" t="inlineStr">
        <is>
          <t/>
        </is>
      </c>
      <c r="BL108" s="202" t="inlineStr">
        <is>
          <t>Accelerator/Incubator</t>
        </is>
      </c>
      <c r="BM108" s="203" t="inlineStr">
        <is>
          <t/>
        </is>
      </c>
      <c r="BN108" s="204" t="inlineStr">
        <is>
          <t/>
        </is>
      </c>
      <c r="BO108" s="205" t="inlineStr">
        <is>
          <t>Venture Capital</t>
        </is>
      </c>
      <c r="BP108" s="206" t="inlineStr">
        <is>
          <t/>
        </is>
      </c>
      <c r="BQ108" s="207" t="inlineStr">
        <is>
          <t/>
        </is>
      </c>
      <c r="BR108" s="208" t="inlineStr">
        <is>
          <t/>
        </is>
      </c>
      <c r="BS108" s="209" t="inlineStr">
        <is>
          <t>Completed</t>
        </is>
      </c>
      <c r="BT108" s="210" t="n">
        <v>43004.0</v>
      </c>
      <c r="BU108" s="211" t="n">
        <v>2.0</v>
      </c>
      <c r="BV108" s="212" t="inlineStr">
        <is>
          <t>Actual</t>
        </is>
      </c>
      <c r="BW108" s="213" t="inlineStr">
        <is>
          <t/>
        </is>
      </c>
      <c r="BX108" s="214" t="inlineStr">
        <is>
          <t/>
        </is>
      </c>
      <c r="BY108" s="215" t="inlineStr">
        <is>
          <t>Early Stage VC</t>
        </is>
      </c>
      <c r="BZ108" s="216" t="inlineStr">
        <is>
          <t/>
        </is>
      </c>
      <c r="CA108" s="217" t="inlineStr">
        <is>
          <t/>
        </is>
      </c>
      <c r="CB108" s="218" t="inlineStr">
        <is>
          <t>Venture Capital</t>
        </is>
      </c>
      <c r="CC108" s="219" t="inlineStr">
        <is>
          <t/>
        </is>
      </c>
      <c r="CD108" s="220" t="inlineStr">
        <is>
          <t/>
        </is>
      </c>
      <c r="CE108" s="221" t="inlineStr">
        <is>
          <t/>
        </is>
      </c>
      <c r="CF108" s="222" t="inlineStr">
        <is>
          <t>Completed</t>
        </is>
      </c>
      <c r="CG108" s="223" t="inlineStr">
        <is>
          <t>-2,67%</t>
        </is>
      </c>
      <c r="CH108" s="224" t="inlineStr">
        <is>
          <t>7</t>
        </is>
      </c>
      <c r="CI108" s="225" t="inlineStr">
        <is>
          <t>0,02%</t>
        </is>
      </c>
      <c r="CJ108" s="226" t="inlineStr">
        <is>
          <t>0,74%</t>
        </is>
      </c>
      <c r="CK108" s="227" t="inlineStr">
        <is>
          <t>-5,29%</t>
        </is>
      </c>
      <c r="CL108" s="228" t="inlineStr">
        <is>
          <t>7</t>
        </is>
      </c>
      <c r="CM108" s="229" t="inlineStr">
        <is>
          <t>-0,04%</t>
        </is>
      </c>
      <c r="CN108" s="230" t="inlineStr">
        <is>
          <t>11</t>
        </is>
      </c>
      <c r="CO108" s="231" t="inlineStr">
        <is>
          <t>-10,75%</t>
        </is>
      </c>
      <c r="CP108" s="232" t="inlineStr">
        <is>
          <t>12</t>
        </is>
      </c>
      <c r="CQ108" s="233" t="inlineStr">
        <is>
          <t>0,16%</t>
        </is>
      </c>
      <c r="CR108" s="234" t="inlineStr">
        <is>
          <t>90</t>
        </is>
      </c>
      <c r="CS108" s="235" t="inlineStr">
        <is>
          <t>-0,05%</t>
        </is>
      </c>
      <c r="CT108" s="236" t="inlineStr">
        <is>
          <t>7</t>
        </is>
      </c>
      <c r="CU108" s="237" t="inlineStr">
        <is>
          <t>-0,03%</t>
        </is>
      </c>
      <c r="CV108" s="238" t="inlineStr">
        <is>
          <t>17</t>
        </is>
      </c>
      <c r="CW108" s="239" t="inlineStr">
        <is>
          <t>11,18x</t>
        </is>
      </c>
      <c r="CX108" s="240" t="inlineStr">
        <is>
          <t>89</t>
        </is>
      </c>
      <c r="CY108" s="241" t="inlineStr">
        <is>
          <t>-0,08x</t>
        </is>
      </c>
      <c r="CZ108" s="242" t="inlineStr">
        <is>
          <t>-0,70%</t>
        </is>
      </c>
      <c r="DA108" s="243" t="inlineStr">
        <is>
          <t>3,35x</t>
        </is>
      </c>
      <c r="DB108" s="244" t="inlineStr">
        <is>
          <t>76</t>
        </is>
      </c>
      <c r="DC108" s="245" t="inlineStr">
        <is>
          <t>19,01x</t>
        </is>
      </c>
      <c r="DD108" s="246" t="inlineStr">
        <is>
          <t>89</t>
        </is>
      </c>
      <c r="DE108" s="247" t="inlineStr">
        <is>
          <t>2,31x</t>
        </is>
      </c>
      <c r="DF108" s="248" t="inlineStr">
        <is>
          <t>69</t>
        </is>
      </c>
      <c r="DG108" s="249" t="inlineStr">
        <is>
          <t>4,39x</t>
        </is>
      </c>
      <c r="DH108" s="250" t="inlineStr">
        <is>
          <t>77</t>
        </is>
      </c>
      <c r="DI108" s="251" t="inlineStr">
        <is>
          <t>31,93x</t>
        </is>
      </c>
      <c r="DJ108" s="252" t="inlineStr">
        <is>
          <t>90</t>
        </is>
      </c>
      <c r="DK108" s="253" t="inlineStr">
        <is>
          <t>6,10x</t>
        </is>
      </c>
      <c r="DL108" s="254" t="inlineStr">
        <is>
          <t>82</t>
        </is>
      </c>
      <c r="DM108" s="255" t="inlineStr">
        <is>
          <t>865</t>
        </is>
      </c>
      <c r="DN108" s="256" t="inlineStr">
        <is>
          <t>-39</t>
        </is>
      </c>
      <c r="DO108" s="257" t="inlineStr">
        <is>
          <t>-4,31%</t>
        </is>
      </c>
      <c r="DP108" s="258" t="inlineStr">
        <is>
          <t>25.287</t>
        </is>
      </c>
      <c r="DQ108" s="259" t="inlineStr">
        <is>
          <t>-10</t>
        </is>
      </c>
      <c r="DR108" s="260" t="inlineStr">
        <is>
          <t>-0,04%</t>
        </is>
      </c>
      <c r="DS108" s="261" t="inlineStr">
        <is>
          <t>158</t>
        </is>
      </c>
      <c r="DT108" s="262" t="inlineStr">
        <is>
          <t>0</t>
        </is>
      </c>
      <c r="DU108" s="263" t="inlineStr">
        <is>
          <t>0,00%</t>
        </is>
      </c>
      <c r="DV108" s="264" t="inlineStr">
        <is>
          <t>2.280</t>
        </is>
      </c>
      <c r="DW108" s="265" t="inlineStr">
        <is>
          <t>4</t>
        </is>
      </c>
      <c r="DX108" s="266" t="inlineStr">
        <is>
          <t>0,18%</t>
        </is>
      </c>
      <c r="DY108" s="267" t="inlineStr">
        <is>
          <t>PitchBook Research</t>
        </is>
      </c>
      <c r="DZ108" s="786">
        <f>HYPERLINK("https://my.pitchbook.com?c=90744-13", "View company online")</f>
      </c>
    </row>
    <row r="109">
      <c r="A109" s="9" t="inlineStr">
        <is>
          <t>178478-02</t>
        </is>
      </c>
      <c r="B109" s="10" t="inlineStr">
        <is>
          <t>Laundryheap</t>
        </is>
      </c>
      <c r="C109" s="11" t="inlineStr">
        <is>
          <t/>
        </is>
      </c>
      <c r="D109" s="12" t="inlineStr">
        <is>
          <t/>
        </is>
      </c>
      <c r="E109" s="13" t="inlineStr">
        <is>
          <t>178478-02</t>
        </is>
      </c>
      <c r="F109" s="14" t="inlineStr">
        <is>
          <t>Provider of on-demand laundry &amp; dry cleaning service in London, Manchester and Birmingham. The company's on-demand laundry &amp; dry cleaning service provides collecting and delivering clothes to home, hotel or office within 24-hours with free pick-up and delivery, personalized bags for the customer to put all their clothes in for washing, ironing and dry cleaning.</t>
        </is>
      </c>
      <c r="G109" s="15" t="inlineStr">
        <is>
          <t>Consumer Products and Services (B2C)</t>
        </is>
      </c>
      <c r="H109" s="16" t="inlineStr">
        <is>
          <t>Services (Non-Financial)</t>
        </is>
      </c>
      <c r="I109" s="17" t="inlineStr">
        <is>
          <t>Other Services (B2C Non-Financial)</t>
        </is>
      </c>
      <c r="J109" s="18" t="inlineStr">
        <is>
          <t>Other Services (B2C Non-Financial)*; Social/Platform Software</t>
        </is>
      </c>
      <c r="K109" s="19" t="inlineStr">
        <is>
          <t>Mobile</t>
        </is>
      </c>
      <c r="L109" s="20" t="inlineStr">
        <is>
          <t>Angel-Backed</t>
        </is>
      </c>
      <c r="M109" s="21" t="n">
        <v>2.25</v>
      </c>
      <c r="N109" s="22" t="inlineStr">
        <is>
          <t>Generating Revenue</t>
        </is>
      </c>
      <c r="O109" s="23" t="inlineStr">
        <is>
          <t>Privately Held (backing)</t>
        </is>
      </c>
      <c r="P109" s="24" t="inlineStr">
        <is>
          <t>Venture Capital</t>
        </is>
      </c>
      <c r="Q109" s="25" t="inlineStr">
        <is>
          <t>www.laundryheap.com</t>
        </is>
      </c>
      <c r="R109" s="26" t="inlineStr">
        <is>
          <t/>
        </is>
      </c>
      <c r="S109" s="27" t="inlineStr">
        <is>
          <t/>
        </is>
      </c>
      <c r="T109" s="28" t="inlineStr">
        <is>
          <t/>
        </is>
      </c>
      <c r="U109" s="29" t="n">
        <v>2014.0</v>
      </c>
      <c r="V109" s="30" t="inlineStr">
        <is>
          <t/>
        </is>
      </c>
      <c r="W109" s="31" t="inlineStr">
        <is>
          <t/>
        </is>
      </c>
      <c r="X109" s="32" t="inlineStr">
        <is>
          <t/>
        </is>
      </c>
      <c r="Y109" s="33" t="inlineStr">
        <is>
          <t/>
        </is>
      </c>
      <c r="Z109" s="34" t="inlineStr">
        <is>
          <t/>
        </is>
      </c>
      <c r="AA109" s="35" t="inlineStr">
        <is>
          <t/>
        </is>
      </c>
      <c r="AB109" s="36" t="inlineStr">
        <is>
          <t/>
        </is>
      </c>
      <c r="AC109" s="37" t="inlineStr">
        <is>
          <t/>
        </is>
      </c>
      <c r="AD109" s="38" t="inlineStr">
        <is>
          <t/>
        </is>
      </c>
      <c r="AE109" s="39" t="inlineStr">
        <is>
          <t>89831-35P</t>
        </is>
      </c>
      <c r="AF109" s="40" t="inlineStr">
        <is>
          <t>Deyan Dimitrov</t>
        </is>
      </c>
      <c r="AG109" s="41" t="inlineStr">
        <is>
          <t>Founder, Chief Executive Officer &amp; Director</t>
        </is>
      </c>
      <c r="AH109" s="42" t="inlineStr">
        <is>
          <t>deyan.dimitrov@laundryheap.com</t>
        </is>
      </c>
      <c r="AI109" s="43" t="inlineStr">
        <is>
          <t/>
        </is>
      </c>
      <c r="AJ109" s="44" t="inlineStr">
        <is>
          <t>London, United Kingdom</t>
        </is>
      </c>
      <c r="AK109" s="45" t="inlineStr">
        <is>
          <t>Canterbury Court, 1-3 Brixton Road</t>
        </is>
      </c>
      <c r="AL109" s="46" t="inlineStr">
        <is>
          <t/>
        </is>
      </c>
      <c r="AM109" s="47" t="inlineStr">
        <is>
          <t>London</t>
        </is>
      </c>
      <c r="AN109" s="48" t="inlineStr">
        <is>
          <t>England</t>
        </is>
      </c>
      <c r="AO109" s="49" t="inlineStr">
        <is>
          <t>SW9 6DE</t>
        </is>
      </c>
      <c r="AP109" s="50" t="inlineStr">
        <is>
          <t>United Kingdom</t>
        </is>
      </c>
      <c r="AQ109" s="51" t="inlineStr">
        <is>
          <t/>
        </is>
      </c>
      <c r="AR109" s="52" t="inlineStr">
        <is>
          <t/>
        </is>
      </c>
      <c r="AS109" s="53" t="inlineStr">
        <is>
          <t>help@laundryheap.com</t>
        </is>
      </c>
      <c r="AT109" s="54" t="inlineStr">
        <is>
          <t>Europe</t>
        </is>
      </c>
      <c r="AU109" s="55" t="inlineStr">
        <is>
          <t>Western Europe</t>
        </is>
      </c>
      <c r="AV109" s="56" t="inlineStr">
        <is>
          <t>The company is planning to raise GBP 1 million of angel funding via crowdfunding platform Seedrs on October 9, 2017. The equity crowdfunding will be raised by later this Autumn. Additionally, the company raised GBP 2 million of angel funding in a deal led by Simon Smith on October 9, 2017. QVentures also participated. The funding will be used to accelerate the growth in existing cities and launching in four new European cities by the end of the year.</t>
        </is>
      </c>
      <c r="AW109" s="57" t="inlineStr">
        <is>
          <t>QVentures</t>
        </is>
      </c>
      <c r="AX109" s="58" t="n">
        <v>1.0</v>
      </c>
      <c r="AY109" s="59" t="inlineStr">
        <is>
          <t/>
        </is>
      </c>
      <c r="AZ109" s="60" t="inlineStr">
        <is>
          <t/>
        </is>
      </c>
      <c r="BA109" s="61" t="inlineStr">
        <is>
          <t/>
        </is>
      </c>
      <c r="BB109" s="62" t="inlineStr">
        <is>
          <t>QVentures (www.qventures.de)</t>
        </is>
      </c>
      <c r="BC109" s="63" t="inlineStr">
        <is>
          <t/>
        </is>
      </c>
      <c r="BD109" s="64" t="inlineStr">
        <is>
          <t/>
        </is>
      </c>
      <c r="BE109" s="65" t="inlineStr">
        <is>
          <t/>
        </is>
      </c>
      <c r="BF109" s="66" t="inlineStr">
        <is>
          <t>Seedrs (Lead Manager or Arranger)</t>
        </is>
      </c>
      <c r="BG109" s="67" t="n">
        <v>43017.0</v>
      </c>
      <c r="BH109" s="68" t="n">
        <v>2.25</v>
      </c>
      <c r="BI109" s="69" t="inlineStr">
        <is>
          <t>Actual</t>
        </is>
      </c>
      <c r="BJ109" s="70" t="inlineStr">
        <is>
          <t/>
        </is>
      </c>
      <c r="BK109" s="71" t="inlineStr">
        <is>
          <t/>
        </is>
      </c>
      <c r="BL109" s="72" t="inlineStr">
        <is>
          <t>Angel (individual)</t>
        </is>
      </c>
      <c r="BM109" s="73" t="inlineStr">
        <is>
          <t>Angel</t>
        </is>
      </c>
      <c r="BN109" s="74" t="inlineStr">
        <is>
          <t/>
        </is>
      </c>
      <c r="BO109" s="75" t="inlineStr">
        <is>
          <t>Individual</t>
        </is>
      </c>
      <c r="BP109" s="76" t="inlineStr">
        <is>
          <t/>
        </is>
      </c>
      <c r="BQ109" s="77" t="inlineStr">
        <is>
          <t/>
        </is>
      </c>
      <c r="BR109" s="78" t="inlineStr">
        <is>
          <t/>
        </is>
      </c>
      <c r="BS109" s="79" t="inlineStr">
        <is>
          <t>Completed</t>
        </is>
      </c>
      <c r="BT109" s="80" t="inlineStr">
        <is>
          <t/>
        </is>
      </c>
      <c r="BU109" s="81" t="n">
        <v>1.12</v>
      </c>
      <c r="BV109" s="82" t="inlineStr">
        <is>
          <t>Actual</t>
        </is>
      </c>
      <c r="BW109" s="83" t="inlineStr">
        <is>
          <t/>
        </is>
      </c>
      <c r="BX109" s="84" t="inlineStr">
        <is>
          <t/>
        </is>
      </c>
      <c r="BY109" s="85" t="inlineStr">
        <is>
          <t>Angel (individual)</t>
        </is>
      </c>
      <c r="BZ109" s="86" t="inlineStr">
        <is>
          <t>Angel</t>
        </is>
      </c>
      <c r="CA109" s="87" t="inlineStr">
        <is>
          <t/>
        </is>
      </c>
      <c r="CB109" s="88" t="inlineStr">
        <is>
          <t>Individual</t>
        </is>
      </c>
      <c r="CC109" s="89" t="inlineStr">
        <is>
          <t/>
        </is>
      </c>
      <c r="CD109" s="90" t="inlineStr">
        <is>
          <t/>
        </is>
      </c>
      <c r="CE109" s="91" t="inlineStr">
        <is>
          <t/>
        </is>
      </c>
      <c r="CF109" s="92" t="inlineStr">
        <is>
          <t>Upcoming</t>
        </is>
      </c>
      <c r="CG109" s="93" t="inlineStr">
        <is>
          <t>-1,90%</t>
        </is>
      </c>
      <c r="CH109" s="94" t="inlineStr">
        <is>
          <t>10</t>
        </is>
      </c>
      <c r="CI109" s="95" t="inlineStr">
        <is>
          <t>0,01%</t>
        </is>
      </c>
      <c r="CJ109" s="96" t="inlineStr">
        <is>
          <t>0,29%</t>
        </is>
      </c>
      <c r="CK109" s="97" t="inlineStr">
        <is>
          <t>-5,23%</t>
        </is>
      </c>
      <c r="CL109" s="98" t="inlineStr">
        <is>
          <t>7</t>
        </is>
      </c>
      <c r="CM109" s="99" t="inlineStr">
        <is>
          <t>1,43%</t>
        </is>
      </c>
      <c r="CN109" s="100" t="inlineStr">
        <is>
          <t>98</t>
        </is>
      </c>
      <c r="CO109" s="101" t="inlineStr">
        <is>
          <t>-10,96%</t>
        </is>
      </c>
      <c r="CP109" s="102" t="inlineStr">
        <is>
          <t>12</t>
        </is>
      </c>
      <c r="CQ109" s="103" t="inlineStr">
        <is>
          <t>0,50%</t>
        </is>
      </c>
      <c r="CR109" s="104" t="inlineStr">
        <is>
          <t>92</t>
        </is>
      </c>
      <c r="CS109" s="105" t="inlineStr">
        <is>
          <t>2,75%</t>
        </is>
      </c>
      <c r="CT109" s="106" t="inlineStr">
        <is>
          <t>99</t>
        </is>
      </c>
      <c r="CU109" s="107" t="inlineStr">
        <is>
          <t>0,12%</t>
        </is>
      </c>
      <c r="CV109" s="108" t="inlineStr">
        <is>
          <t>68</t>
        </is>
      </c>
      <c r="CW109" s="109" t="inlineStr">
        <is>
          <t>2,17x</t>
        </is>
      </c>
      <c r="CX109" s="110" t="inlineStr">
        <is>
          <t>66</t>
        </is>
      </c>
      <c r="CY109" s="111" t="inlineStr">
        <is>
          <t>-0,01x</t>
        </is>
      </c>
      <c r="CZ109" s="112" t="inlineStr">
        <is>
          <t>-0,56%</t>
        </is>
      </c>
      <c r="DA109" s="113" t="inlineStr">
        <is>
          <t>1,59x</t>
        </is>
      </c>
      <c r="DB109" s="114" t="inlineStr">
        <is>
          <t>62</t>
        </is>
      </c>
      <c r="DC109" s="115" t="inlineStr">
        <is>
          <t>2,74x</t>
        </is>
      </c>
      <c r="DD109" s="116" t="inlineStr">
        <is>
          <t>67</t>
        </is>
      </c>
      <c r="DE109" s="117" t="inlineStr">
        <is>
          <t>0,29x</t>
        </is>
      </c>
      <c r="DF109" s="118" t="inlineStr">
        <is>
          <t>21</t>
        </is>
      </c>
      <c r="DG109" s="119" t="inlineStr">
        <is>
          <t>2,89x</t>
        </is>
      </c>
      <c r="DH109" s="120" t="inlineStr">
        <is>
          <t>71</t>
        </is>
      </c>
      <c r="DI109" s="121" t="inlineStr">
        <is>
          <t>1,38x</t>
        </is>
      </c>
      <c r="DJ109" s="122" t="inlineStr">
        <is>
          <t>56</t>
        </is>
      </c>
      <c r="DK109" s="123" t="inlineStr">
        <is>
          <t>4,10x</t>
        </is>
      </c>
      <c r="DL109" s="124" t="inlineStr">
        <is>
          <t>76</t>
        </is>
      </c>
      <c r="DM109" s="125" t="inlineStr">
        <is>
          <t>109</t>
        </is>
      </c>
      <c r="DN109" s="126" t="inlineStr">
        <is>
          <t>-7</t>
        </is>
      </c>
      <c r="DO109" s="127" t="inlineStr">
        <is>
          <t>-6,03%</t>
        </is>
      </c>
      <c r="DP109" s="128" t="inlineStr">
        <is>
          <t>1.089</t>
        </is>
      </c>
      <c r="DQ109" s="129" t="inlineStr">
        <is>
          <t>15</t>
        </is>
      </c>
      <c r="DR109" s="130" t="inlineStr">
        <is>
          <t>1,40%</t>
        </is>
      </c>
      <c r="DS109" s="131" t="inlineStr">
        <is>
          <t>104</t>
        </is>
      </c>
      <c r="DT109" s="132" t="inlineStr">
        <is>
          <t>5</t>
        </is>
      </c>
      <c r="DU109" s="133" t="inlineStr">
        <is>
          <t>5,05%</t>
        </is>
      </c>
      <c r="DV109" s="134" t="inlineStr">
        <is>
          <t>1.532</t>
        </is>
      </c>
      <c r="DW109" s="135" t="inlineStr">
        <is>
          <t>11</t>
        </is>
      </c>
      <c r="DX109" s="136" t="inlineStr">
        <is>
          <t>0,72%</t>
        </is>
      </c>
      <c r="DY109" s="137" t="inlineStr">
        <is>
          <t>PitchBook Research</t>
        </is>
      </c>
      <c r="DZ109" s="785">
        <f>HYPERLINK("https://my.pitchbook.com?c=178478-02", "View company online")</f>
      </c>
    </row>
    <row r="110">
      <c r="A110" s="139" t="inlineStr">
        <is>
          <t>64285-12</t>
        </is>
      </c>
      <c r="B110" s="140" t="inlineStr">
        <is>
          <t>Smartgate Solutions</t>
        </is>
      </c>
      <c r="C110" s="141" t="inlineStr">
        <is>
          <t/>
        </is>
      </c>
      <c r="D110" s="142" t="inlineStr">
        <is>
          <t/>
        </is>
      </c>
      <c r="E110" s="143" t="inlineStr">
        <is>
          <t>64285-12</t>
        </is>
      </c>
      <c r="F110" s="144" t="inlineStr">
        <is>
          <t>Provider of a range of quality and compliance systems intended to manage and meet both their operational and regulatory requirements in the healthcare market. The company's range of quality and compliance systems uses a cloud-based radar enabling health care, social care, security and transport sectors to underpin operations and processes and give the necessary visibility against performance and compliance.</t>
        </is>
      </c>
      <c r="G110" s="145" t="inlineStr">
        <is>
          <t>Information Technology</t>
        </is>
      </c>
      <c r="H110" s="146" t="inlineStr">
        <is>
          <t>Software</t>
        </is>
      </c>
      <c r="I110" s="147" t="inlineStr">
        <is>
          <t>Application Software</t>
        </is>
      </c>
      <c r="J110" s="148" t="inlineStr">
        <is>
          <t>Application Software*; Enterprise Systems (Healthcare); Other Healthcare Technology Systems</t>
        </is>
      </c>
      <c r="K110" s="149" t="inlineStr">
        <is>
          <t>Mobile, SaaS</t>
        </is>
      </c>
      <c r="L110" s="150" t="inlineStr">
        <is>
          <t>Venture Capital-Backed</t>
        </is>
      </c>
      <c r="M110" s="151" t="n">
        <v>2.27</v>
      </c>
      <c r="N110" s="152" t="inlineStr">
        <is>
          <t>Generating Revenue</t>
        </is>
      </c>
      <c r="O110" s="153" t="inlineStr">
        <is>
          <t>Privately Held (backing)</t>
        </is>
      </c>
      <c r="P110" s="154" t="inlineStr">
        <is>
          <t>Venture Capital</t>
        </is>
      </c>
      <c r="Q110" s="155" t="inlineStr">
        <is>
          <t>www.smartgatesolutions.co.uk</t>
        </is>
      </c>
      <c r="R110" s="156" t="n">
        <v>7.0</v>
      </c>
      <c r="S110" s="157" t="inlineStr">
        <is>
          <t/>
        </is>
      </c>
      <c r="T110" s="158" t="inlineStr">
        <is>
          <t/>
        </is>
      </c>
      <c r="U110" s="159" t="n">
        <v>2012.0</v>
      </c>
      <c r="V110" s="160" t="inlineStr">
        <is>
          <t/>
        </is>
      </c>
      <c r="W110" s="161" t="inlineStr">
        <is>
          <t/>
        </is>
      </c>
      <c r="X110" s="162" t="inlineStr">
        <is>
          <t/>
        </is>
      </c>
      <c r="Y110" s="163" t="inlineStr">
        <is>
          <t/>
        </is>
      </c>
      <c r="Z110" s="164" t="inlineStr">
        <is>
          <t/>
        </is>
      </c>
      <c r="AA110" s="165" t="inlineStr">
        <is>
          <t/>
        </is>
      </c>
      <c r="AB110" s="166" t="inlineStr">
        <is>
          <t/>
        </is>
      </c>
      <c r="AC110" s="167" t="inlineStr">
        <is>
          <t/>
        </is>
      </c>
      <c r="AD110" s="168" t="inlineStr">
        <is>
          <t>FY 2014</t>
        </is>
      </c>
      <c r="AE110" s="169" t="inlineStr">
        <is>
          <t>70828-30P</t>
        </is>
      </c>
      <c r="AF110" s="170" t="inlineStr">
        <is>
          <t>Paul Johnson</t>
        </is>
      </c>
      <c r="AG110" s="171" t="inlineStr">
        <is>
          <t>Co-Founder, Chief Executive Officer &amp; Managing Director</t>
        </is>
      </c>
      <c r="AH110" s="172" t="inlineStr">
        <is>
          <t>paul@smartgatesolutions.co.uk</t>
        </is>
      </c>
      <c r="AI110" s="173" t="inlineStr">
        <is>
          <t>+44 (0)33 0223 2740</t>
        </is>
      </c>
      <c r="AJ110" s="174" t="inlineStr">
        <is>
          <t>Leeds, United Kingdom</t>
        </is>
      </c>
      <c r="AK110" s="175" t="inlineStr">
        <is>
          <t>Number 1 Leeds</t>
        </is>
      </c>
      <c r="AL110" s="176" t="inlineStr">
        <is>
          <t>26 Whitehall Road</t>
        </is>
      </c>
      <c r="AM110" s="177" t="inlineStr">
        <is>
          <t>Leeds</t>
        </is>
      </c>
      <c r="AN110" s="178" t="inlineStr">
        <is>
          <t>England</t>
        </is>
      </c>
      <c r="AO110" s="179" t="inlineStr">
        <is>
          <t>LS12 1BE</t>
        </is>
      </c>
      <c r="AP110" s="180" t="inlineStr">
        <is>
          <t>United Kingdom</t>
        </is>
      </c>
      <c r="AQ110" s="181" t="inlineStr">
        <is>
          <t>+44 (0)33 0223 2740</t>
        </is>
      </c>
      <c r="AR110" s="182" t="inlineStr">
        <is>
          <t/>
        </is>
      </c>
      <c r="AS110" s="183" t="inlineStr">
        <is>
          <t>info@smartgatesolutions.co.uk</t>
        </is>
      </c>
      <c r="AT110" s="184" t="inlineStr">
        <is>
          <t>Europe</t>
        </is>
      </c>
      <c r="AU110" s="185" t="inlineStr">
        <is>
          <t>Western Europe</t>
        </is>
      </c>
      <c r="AV110" s="186" t="inlineStr">
        <is>
          <t>The company raised GBP 1.6 million of venture funding in a deal led by 24Haymarket on October 20, 2017. Northern Powerhouse Investment Fund also participated in the round. The company intends to use the funds to expand both its sales and delivery teams.</t>
        </is>
      </c>
      <c r="AW110" s="187" t="inlineStr">
        <is>
          <t>24Haymarket, Enterprise Ventures, Finance Yorkshire, Northern Powerhouse Investment Fund</t>
        </is>
      </c>
      <c r="AX110" s="188" t="n">
        <v>4.0</v>
      </c>
      <c r="AY110" s="189" t="inlineStr">
        <is>
          <t/>
        </is>
      </c>
      <c r="AZ110" s="190" t="inlineStr">
        <is>
          <t/>
        </is>
      </c>
      <c r="BA110" s="191" t="inlineStr">
        <is>
          <t/>
        </is>
      </c>
      <c r="BB110" s="192" t="inlineStr">
        <is>
          <t>24Haymarket (www.24haymarket.com), Enterprise Ventures (www.evgroup.uk.com), Finance Yorkshire (www.finance-yorkshire.com), Northern Powerhouse Investment Fund (www.npif.co.uk)</t>
        </is>
      </c>
      <c r="BC110" s="193" t="inlineStr">
        <is>
          <t/>
        </is>
      </c>
      <c r="BD110" s="194" t="inlineStr">
        <is>
          <t/>
        </is>
      </c>
      <c r="BE110" s="195" t="inlineStr">
        <is>
          <t/>
        </is>
      </c>
      <c r="BF110" s="196" t="inlineStr">
        <is>
          <t/>
        </is>
      </c>
      <c r="BG110" s="197" t="inlineStr">
        <is>
          <t/>
        </is>
      </c>
      <c r="BH110" s="198" t="n">
        <v>0.11</v>
      </c>
      <c r="BI110" s="199" t="inlineStr">
        <is>
          <t>Actual</t>
        </is>
      </c>
      <c r="BJ110" s="200" t="inlineStr">
        <is>
          <t/>
        </is>
      </c>
      <c r="BK110" s="201" t="inlineStr">
        <is>
          <t/>
        </is>
      </c>
      <c r="BL110" s="202" t="inlineStr">
        <is>
          <t>Early Stage VC</t>
        </is>
      </c>
      <c r="BM110" s="203" t="inlineStr">
        <is>
          <t/>
        </is>
      </c>
      <c r="BN110" s="204" t="inlineStr">
        <is>
          <t/>
        </is>
      </c>
      <c r="BO110" s="205" t="inlineStr">
        <is>
          <t>Venture Capital</t>
        </is>
      </c>
      <c r="BP110" s="206" t="inlineStr">
        <is>
          <t/>
        </is>
      </c>
      <c r="BQ110" s="207" t="inlineStr">
        <is>
          <t/>
        </is>
      </c>
      <c r="BR110" s="208" t="inlineStr">
        <is>
          <t/>
        </is>
      </c>
      <c r="BS110" s="209" t="inlineStr">
        <is>
          <t>Completed</t>
        </is>
      </c>
      <c r="BT110" s="210" t="n">
        <v>43028.0</v>
      </c>
      <c r="BU110" s="211" t="n">
        <v>1.8</v>
      </c>
      <c r="BV110" s="212" t="inlineStr">
        <is>
          <t>Actual</t>
        </is>
      </c>
      <c r="BW110" s="213" t="inlineStr">
        <is>
          <t/>
        </is>
      </c>
      <c r="BX110" s="214" t="inlineStr">
        <is>
          <t/>
        </is>
      </c>
      <c r="BY110" s="215" t="inlineStr">
        <is>
          <t>Early Stage VC</t>
        </is>
      </c>
      <c r="BZ110" s="216" t="inlineStr">
        <is>
          <t/>
        </is>
      </c>
      <c r="CA110" s="217" t="inlineStr">
        <is>
          <t/>
        </is>
      </c>
      <c r="CB110" s="218" t="inlineStr">
        <is>
          <t>Venture Capital</t>
        </is>
      </c>
      <c r="CC110" s="219" t="inlineStr">
        <is>
          <t/>
        </is>
      </c>
      <c r="CD110" s="220" t="inlineStr">
        <is>
          <t/>
        </is>
      </c>
      <c r="CE110" s="221" t="inlineStr">
        <is>
          <t/>
        </is>
      </c>
      <c r="CF110" s="222" t="inlineStr">
        <is>
          <t>Completed</t>
        </is>
      </c>
      <c r="CG110" s="223" t="inlineStr">
        <is>
          <t>0,00%</t>
        </is>
      </c>
      <c r="CH110" s="224" t="inlineStr">
        <is>
          <t>33</t>
        </is>
      </c>
      <c r="CI110" s="225" t="inlineStr">
        <is>
          <t>0,00%</t>
        </is>
      </c>
      <c r="CJ110" s="226" t="inlineStr">
        <is>
          <t>0,00%</t>
        </is>
      </c>
      <c r="CK110" s="227" t="inlineStr">
        <is>
          <t>0,00%</t>
        </is>
      </c>
      <c r="CL110" s="228" t="inlineStr">
        <is>
          <t>28</t>
        </is>
      </c>
      <c r="CM110" s="229" t="inlineStr">
        <is>
          <t>0,00%</t>
        </is>
      </c>
      <c r="CN110" s="230" t="inlineStr">
        <is>
          <t>20</t>
        </is>
      </c>
      <c r="CO110" s="231" t="inlineStr">
        <is>
          <t/>
        </is>
      </c>
      <c r="CP110" s="232" t="inlineStr">
        <is>
          <t/>
        </is>
      </c>
      <c r="CQ110" s="233" t="inlineStr">
        <is>
          <t>0,00%</t>
        </is>
      </c>
      <c r="CR110" s="234" t="inlineStr">
        <is>
          <t>20</t>
        </is>
      </c>
      <c r="CS110" s="235" t="inlineStr">
        <is>
          <t/>
        </is>
      </c>
      <c r="CT110" s="236" t="inlineStr">
        <is>
          <t/>
        </is>
      </c>
      <c r="CU110" s="237" t="inlineStr">
        <is>
          <t>0,00%</t>
        </is>
      </c>
      <c r="CV110" s="238" t="inlineStr">
        <is>
          <t>21</t>
        </is>
      </c>
      <c r="CW110" s="239" t="inlineStr">
        <is>
          <t>0,31x</t>
        </is>
      </c>
      <c r="CX110" s="240" t="inlineStr">
        <is>
          <t>23</t>
        </is>
      </c>
      <c r="CY110" s="241" t="inlineStr">
        <is>
          <t>0,00x</t>
        </is>
      </c>
      <c r="CZ110" s="242" t="inlineStr">
        <is>
          <t>-0,15%</t>
        </is>
      </c>
      <c r="DA110" s="243" t="inlineStr">
        <is>
          <t>0,53x</t>
        </is>
      </c>
      <c r="DB110" s="244" t="inlineStr">
        <is>
          <t>36</t>
        </is>
      </c>
      <c r="DC110" s="245" t="inlineStr">
        <is>
          <t>0,09x</t>
        </is>
      </c>
      <c r="DD110" s="246" t="inlineStr">
        <is>
          <t>12</t>
        </is>
      </c>
      <c r="DE110" s="247" t="inlineStr">
        <is>
          <t/>
        </is>
      </c>
      <c r="DF110" s="248" t="inlineStr">
        <is>
          <t/>
        </is>
      </c>
      <c r="DG110" s="249" t="inlineStr">
        <is>
          <t>0,53x</t>
        </is>
      </c>
      <c r="DH110" s="250" t="inlineStr">
        <is>
          <t>37</t>
        </is>
      </c>
      <c r="DI110" s="251" t="inlineStr">
        <is>
          <t/>
        </is>
      </c>
      <c r="DJ110" s="252" t="inlineStr">
        <is>
          <t/>
        </is>
      </c>
      <c r="DK110" s="253" t="inlineStr">
        <is>
          <t>0,09x</t>
        </is>
      </c>
      <c r="DL110" s="254" t="inlineStr">
        <is>
          <t>15</t>
        </is>
      </c>
      <c r="DM110" s="255" t="inlineStr">
        <is>
          <t/>
        </is>
      </c>
      <c r="DN110" s="256" t="inlineStr">
        <is>
          <t/>
        </is>
      </c>
      <c r="DO110" s="257" t="inlineStr">
        <is>
          <t/>
        </is>
      </c>
      <c r="DP110" s="258" t="inlineStr">
        <is>
          <t/>
        </is>
      </c>
      <c r="DQ110" s="259" t="inlineStr">
        <is>
          <t/>
        </is>
      </c>
      <c r="DR110" s="260" t="inlineStr">
        <is>
          <t/>
        </is>
      </c>
      <c r="DS110" s="261" t="inlineStr">
        <is>
          <t>19</t>
        </is>
      </c>
      <c r="DT110" s="262" t="inlineStr">
        <is>
          <t>0</t>
        </is>
      </c>
      <c r="DU110" s="263" t="inlineStr">
        <is>
          <t>0,00%</t>
        </is>
      </c>
      <c r="DV110" s="264" t="inlineStr">
        <is>
          <t>32</t>
        </is>
      </c>
      <c r="DW110" s="265" t="inlineStr">
        <is>
          <t>0</t>
        </is>
      </c>
      <c r="DX110" s="266" t="inlineStr">
        <is>
          <t>0,00%</t>
        </is>
      </c>
      <c r="DY110" s="267" t="inlineStr">
        <is>
          <t>PitchBook Research</t>
        </is>
      </c>
      <c r="DZ110" s="786">
        <f>HYPERLINK("https://my.pitchbook.com?c=64285-12", "View company online")</f>
      </c>
    </row>
    <row r="111">
      <c r="A111" s="9" t="inlineStr">
        <is>
          <t>149987-98</t>
        </is>
      </c>
      <c r="B111" s="10" t="inlineStr">
        <is>
          <t>Valossa</t>
        </is>
      </c>
      <c r="C111" s="11" t="inlineStr">
        <is>
          <t>Deep Content</t>
        </is>
      </c>
      <c r="D111" s="12" t="inlineStr">
        <is>
          <t/>
        </is>
      </c>
      <c r="E111" s="13" t="inlineStr">
        <is>
          <t>149987-98</t>
        </is>
      </c>
      <c r="F111" s="14" t="inlineStr">
        <is>
          <t>Developer of an artificial intelligence (AI)-based audiovisual content search platform designed to monetize videos. The company's artificial intelligence (AI)-based audiovisual content search platform understands content data of videos and provides structured metadata for video summarization and content management, enabling clients to create audiovisual content with visual recognition systems.</t>
        </is>
      </c>
      <c r="G111" s="15" t="inlineStr">
        <is>
          <t>Information Technology</t>
        </is>
      </c>
      <c r="H111" s="16" t="inlineStr">
        <is>
          <t>Software</t>
        </is>
      </c>
      <c r="I111" s="17" t="inlineStr">
        <is>
          <t>Multimedia and Design Software</t>
        </is>
      </c>
      <c r="J111" s="18" t="inlineStr">
        <is>
          <t>Multimedia and Design Software*; Other Software</t>
        </is>
      </c>
      <c r="K111" s="19" t="inlineStr">
        <is>
          <t>Artificial Intelligence &amp; Machine Learning, SaaS</t>
        </is>
      </c>
      <c r="L111" s="20" t="inlineStr">
        <is>
          <t>Venture Capital-Backed</t>
        </is>
      </c>
      <c r="M111" s="21" t="n">
        <v>2.28</v>
      </c>
      <c r="N111" s="22" t="inlineStr">
        <is>
          <t>Generating Revenue</t>
        </is>
      </c>
      <c r="O111" s="23" t="inlineStr">
        <is>
          <t>Privately Held (backing)</t>
        </is>
      </c>
      <c r="P111" s="24" t="inlineStr">
        <is>
          <t>Venture Capital</t>
        </is>
      </c>
      <c r="Q111" s="25" t="inlineStr">
        <is>
          <t>www.valossa.com</t>
        </is>
      </c>
      <c r="R111" s="26" t="n">
        <v>6.0</v>
      </c>
      <c r="S111" s="27" t="inlineStr">
        <is>
          <t/>
        </is>
      </c>
      <c r="T111" s="28" t="inlineStr">
        <is>
          <t/>
        </is>
      </c>
      <c r="U111" s="29" t="n">
        <v>2015.0</v>
      </c>
      <c r="V111" s="30" t="inlineStr">
        <is>
          <t/>
        </is>
      </c>
      <c r="W111" s="31" t="inlineStr">
        <is>
          <t/>
        </is>
      </c>
      <c r="X111" s="32" t="inlineStr">
        <is>
          <t/>
        </is>
      </c>
      <c r="Y111" s="33" t="inlineStr">
        <is>
          <t/>
        </is>
      </c>
      <c r="Z111" s="34" t="inlineStr">
        <is>
          <t/>
        </is>
      </c>
      <c r="AA111" s="35" t="inlineStr">
        <is>
          <t/>
        </is>
      </c>
      <c r="AB111" s="36" t="inlineStr">
        <is>
          <t/>
        </is>
      </c>
      <c r="AC111" s="37" t="inlineStr">
        <is>
          <t/>
        </is>
      </c>
      <c r="AD111" s="38" t="inlineStr">
        <is>
          <t/>
        </is>
      </c>
      <c r="AE111" s="39" t="inlineStr">
        <is>
          <t>123391-90P</t>
        </is>
      </c>
      <c r="AF111" s="40" t="inlineStr">
        <is>
          <t>Otso Kassinen</t>
        </is>
      </c>
      <c r="AG111" s="41" t="inlineStr">
        <is>
          <t>Co-Founder &amp; Chief Architect</t>
        </is>
      </c>
      <c r="AH111" s="42" t="inlineStr">
        <is>
          <t>otso@valossa.com</t>
        </is>
      </c>
      <c r="AI111" s="43" t="inlineStr">
        <is>
          <t>+358 (0)40 012 2586</t>
        </is>
      </c>
      <c r="AJ111" s="44" t="inlineStr">
        <is>
          <t>Oulu, Finland</t>
        </is>
      </c>
      <c r="AK111" s="45" t="inlineStr">
        <is>
          <t>Paavo Havaksen tie 5E</t>
        </is>
      </c>
      <c r="AL111" s="46" t="inlineStr">
        <is>
          <t/>
        </is>
      </c>
      <c r="AM111" s="47" t="inlineStr">
        <is>
          <t>Oulu</t>
        </is>
      </c>
      <c r="AN111" s="48" t="inlineStr">
        <is>
          <t/>
        </is>
      </c>
      <c r="AO111" s="49" t="inlineStr">
        <is>
          <t>90570</t>
        </is>
      </c>
      <c r="AP111" s="50" t="inlineStr">
        <is>
          <t>Finland</t>
        </is>
      </c>
      <c r="AQ111" s="51" t="inlineStr">
        <is>
          <t>+358 (0)40 012 2586</t>
        </is>
      </c>
      <c r="AR111" s="52" t="inlineStr">
        <is>
          <t/>
        </is>
      </c>
      <c r="AS111" s="53" t="inlineStr">
        <is>
          <t>info@valossa.com</t>
        </is>
      </c>
      <c r="AT111" s="54" t="inlineStr">
        <is>
          <t>Europe</t>
        </is>
      </c>
      <c r="AU111" s="55" t="inlineStr">
        <is>
          <t>Northern Europe</t>
        </is>
      </c>
      <c r="AV111" s="56" t="inlineStr">
        <is>
          <t>The company raised $2 million of venture funding in a deal led by 01 Ventures on September 6, 2017. Reaktor Ventures, Butterfly Ventures and Jari Ovaskainen also participated in the round. The company intends to use the capital to expand its product team and its global sales and marketing efforts.</t>
        </is>
      </c>
      <c r="AW111" s="57" t="inlineStr">
        <is>
          <t>01 Ventures, Butterfly Ventures, Plug and Play Tech Center, Reaktor Ventures</t>
        </is>
      </c>
      <c r="AX111" s="58" t="n">
        <v>4.0</v>
      </c>
      <c r="AY111" s="59" t="inlineStr">
        <is>
          <t/>
        </is>
      </c>
      <c r="AZ111" s="60" t="inlineStr">
        <is>
          <t/>
        </is>
      </c>
      <c r="BA111" s="61" t="inlineStr">
        <is>
          <t/>
        </is>
      </c>
      <c r="BB111" s="62" t="inlineStr">
        <is>
          <t>01 Ventures (www.01ventures.com), Butterfly Ventures (www.butterfly.vc), Plug and Play Tech Center (www.plugandplaytechcenter.com), Reaktor Ventures (www.reaktorventures.com)</t>
        </is>
      </c>
      <c r="BC111" s="63" t="inlineStr">
        <is>
          <t/>
        </is>
      </c>
      <c r="BD111" s="64" t="inlineStr">
        <is>
          <t/>
        </is>
      </c>
      <c r="BE111" s="65" t="inlineStr">
        <is>
          <t/>
        </is>
      </c>
      <c r="BF111" s="66" t="inlineStr">
        <is>
          <t/>
        </is>
      </c>
      <c r="BG111" s="67" t="inlineStr">
        <is>
          <t/>
        </is>
      </c>
      <c r="BH111" s="68" t="inlineStr">
        <is>
          <t/>
        </is>
      </c>
      <c r="BI111" s="69" t="inlineStr">
        <is>
          <t/>
        </is>
      </c>
      <c r="BJ111" s="70" t="inlineStr">
        <is>
          <t/>
        </is>
      </c>
      <c r="BK111" s="71" t="inlineStr">
        <is>
          <t/>
        </is>
      </c>
      <c r="BL111" s="72" t="inlineStr">
        <is>
          <t>Accelerator/Incubator</t>
        </is>
      </c>
      <c r="BM111" s="73" t="inlineStr">
        <is>
          <t/>
        </is>
      </c>
      <c r="BN111" s="74" t="inlineStr">
        <is>
          <t/>
        </is>
      </c>
      <c r="BO111" s="75" t="inlineStr">
        <is>
          <t>Other</t>
        </is>
      </c>
      <c r="BP111" s="76" t="inlineStr">
        <is>
          <t/>
        </is>
      </c>
      <c r="BQ111" s="77" t="inlineStr">
        <is>
          <t/>
        </is>
      </c>
      <c r="BR111" s="78" t="inlineStr">
        <is>
          <t/>
        </is>
      </c>
      <c r="BS111" s="79" t="inlineStr">
        <is>
          <t>Completed</t>
        </is>
      </c>
      <c r="BT111" s="80" t="n">
        <v>42984.0</v>
      </c>
      <c r="BU111" s="81" t="n">
        <v>1.68</v>
      </c>
      <c r="BV111" s="82" t="inlineStr">
        <is>
          <t>Actual</t>
        </is>
      </c>
      <c r="BW111" s="83" t="inlineStr">
        <is>
          <t/>
        </is>
      </c>
      <c r="BX111" s="84" t="inlineStr">
        <is>
          <t/>
        </is>
      </c>
      <c r="BY111" s="85" t="inlineStr">
        <is>
          <t>Early Stage VC</t>
        </is>
      </c>
      <c r="BZ111" s="86" t="inlineStr">
        <is>
          <t/>
        </is>
      </c>
      <c r="CA111" s="87" t="inlineStr">
        <is>
          <t/>
        </is>
      </c>
      <c r="CB111" s="88" t="inlineStr">
        <is>
          <t>Venture Capital</t>
        </is>
      </c>
      <c r="CC111" s="89" t="inlineStr">
        <is>
          <t/>
        </is>
      </c>
      <c r="CD111" s="90" t="inlineStr">
        <is>
          <t/>
        </is>
      </c>
      <c r="CE111" s="91" t="inlineStr">
        <is>
          <t/>
        </is>
      </c>
      <c r="CF111" s="92" t="inlineStr">
        <is>
          <t>Completed</t>
        </is>
      </c>
      <c r="CG111" s="93" t="inlineStr">
        <is>
          <t>-2,34%</t>
        </is>
      </c>
      <c r="CH111" s="94" t="inlineStr">
        <is>
          <t>8</t>
        </is>
      </c>
      <c r="CI111" s="95" t="inlineStr">
        <is>
          <t>0,01%</t>
        </is>
      </c>
      <c r="CJ111" s="96" t="inlineStr">
        <is>
          <t>0,34%</t>
        </is>
      </c>
      <c r="CK111" s="97" t="inlineStr">
        <is>
          <t>-5,03%</t>
        </is>
      </c>
      <c r="CL111" s="98" t="inlineStr">
        <is>
          <t>8</t>
        </is>
      </c>
      <c r="CM111" s="99" t="inlineStr">
        <is>
          <t>0,35%</t>
        </is>
      </c>
      <c r="CN111" s="100" t="inlineStr">
        <is>
          <t>83</t>
        </is>
      </c>
      <c r="CO111" s="101" t="inlineStr">
        <is>
          <t>-10,06%</t>
        </is>
      </c>
      <c r="CP111" s="102" t="inlineStr">
        <is>
          <t>13</t>
        </is>
      </c>
      <c r="CQ111" s="103" t="inlineStr">
        <is>
          <t>0,00%</t>
        </is>
      </c>
      <c r="CR111" s="104" t="inlineStr">
        <is>
          <t>20</t>
        </is>
      </c>
      <c r="CS111" s="105" t="inlineStr">
        <is>
          <t>0,14%</t>
        </is>
      </c>
      <c r="CT111" s="106" t="inlineStr">
        <is>
          <t>62</t>
        </is>
      </c>
      <c r="CU111" s="107" t="inlineStr">
        <is>
          <t>0,57%</t>
        </is>
      </c>
      <c r="CV111" s="108" t="inlineStr">
        <is>
          <t>92</t>
        </is>
      </c>
      <c r="CW111" s="109" t="inlineStr">
        <is>
          <t>1,12x</t>
        </is>
      </c>
      <c r="CX111" s="110" t="inlineStr">
        <is>
          <t>52</t>
        </is>
      </c>
      <c r="CY111" s="111" t="inlineStr">
        <is>
          <t>0,00x</t>
        </is>
      </c>
      <c r="CZ111" s="112" t="inlineStr">
        <is>
          <t>-0,28%</t>
        </is>
      </c>
      <c r="DA111" s="113" t="inlineStr">
        <is>
          <t>1,16x</t>
        </is>
      </c>
      <c r="DB111" s="114" t="inlineStr">
        <is>
          <t>55</t>
        </is>
      </c>
      <c r="DC111" s="115" t="inlineStr">
        <is>
          <t>1,08x</t>
        </is>
      </c>
      <c r="DD111" s="116" t="inlineStr">
        <is>
          <t>50</t>
        </is>
      </c>
      <c r="DE111" s="117" t="inlineStr">
        <is>
          <t>0,81x</t>
        </is>
      </c>
      <c r="DF111" s="118" t="inlineStr">
        <is>
          <t>45</t>
        </is>
      </c>
      <c r="DG111" s="119" t="inlineStr">
        <is>
          <t>1,50x</t>
        </is>
      </c>
      <c r="DH111" s="120" t="inlineStr">
        <is>
          <t>59</t>
        </is>
      </c>
      <c r="DI111" s="121" t="inlineStr">
        <is>
          <t>0,47x</t>
        </is>
      </c>
      <c r="DJ111" s="122" t="inlineStr">
        <is>
          <t>38</t>
        </is>
      </c>
      <c r="DK111" s="123" t="inlineStr">
        <is>
          <t>1,69x</t>
        </is>
      </c>
      <c r="DL111" s="124" t="inlineStr">
        <is>
          <t>60</t>
        </is>
      </c>
      <c r="DM111" s="125" t="inlineStr">
        <is>
          <t>299</t>
        </is>
      </c>
      <c r="DN111" s="126" t="inlineStr">
        <is>
          <t>15</t>
        </is>
      </c>
      <c r="DO111" s="127" t="inlineStr">
        <is>
          <t>5,28%</t>
        </is>
      </c>
      <c r="DP111" s="128" t="inlineStr">
        <is>
          <t>370</t>
        </is>
      </c>
      <c r="DQ111" s="129" t="inlineStr">
        <is>
          <t>1</t>
        </is>
      </c>
      <c r="DR111" s="130" t="inlineStr">
        <is>
          <t>0,27%</t>
        </is>
      </c>
      <c r="DS111" s="131" t="inlineStr">
        <is>
          <t>54</t>
        </is>
      </c>
      <c r="DT111" s="132" t="inlineStr">
        <is>
          <t>0</t>
        </is>
      </c>
      <c r="DU111" s="133" t="inlineStr">
        <is>
          <t>0,00%</t>
        </is>
      </c>
      <c r="DV111" s="134" t="inlineStr">
        <is>
          <t>629</t>
        </is>
      </c>
      <c r="DW111" s="135" t="inlineStr">
        <is>
          <t>3</t>
        </is>
      </c>
      <c r="DX111" s="136" t="inlineStr">
        <is>
          <t>0,48%</t>
        </is>
      </c>
      <c r="DY111" s="137" t="inlineStr">
        <is>
          <t>PitchBook Research</t>
        </is>
      </c>
      <c r="DZ111" s="785">
        <f>HYPERLINK("https://my.pitchbook.com?c=149987-98", "View company online")</f>
      </c>
    </row>
    <row r="112">
      <c r="A112" s="139" t="inlineStr">
        <is>
          <t>186664-78</t>
        </is>
      </c>
      <c r="B112" s="140" t="inlineStr">
        <is>
          <t>Future Ordering</t>
        </is>
      </c>
      <c r="C112" s="141" t="inlineStr">
        <is>
          <t/>
        </is>
      </c>
      <c r="D112" s="142" t="inlineStr">
        <is>
          <t>Future Order</t>
        </is>
      </c>
      <c r="E112" s="143" t="inlineStr">
        <is>
          <t>186664-78</t>
        </is>
      </c>
      <c r="F112" s="144" t="inlineStr">
        <is>
          <t>Provider of cloud-based ordering system designed to offer flexible and scalable ordering cloud. The company's ordering system provides a single application for app, web and kiosk ordering channels that seamlessly integrates with loyalty, marketing, operations and point of sale, enabling restaurant chains and catering operators to
keeps the revenue high and the total cost of ownership low with its self-ordering offering.</t>
        </is>
      </c>
      <c r="G112" s="145" t="inlineStr">
        <is>
          <t>Information Technology</t>
        </is>
      </c>
      <c r="H112" s="146" t="inlineStr">
        <is>
          <t>Software</t>
        </is>
      </c>
      <c r="I112" s="147" t="inlineStr">
        <is>
          <t>Business/Productivity Software</t>
        </is>
      </c>
      <c r="J112" s="148" t="inlineStr">
        <is>
          <t>Business/Productivity Software*; Vertical Market Software</t>
        </is>
      </c>
      <c r="K112" s="149" t="inlineStr">
        <is>
          <t>SaaS</t>
        </is>
      </c>
      <c r="L112" s="150" t="inlineStr">
        <is>
          <t>Venture Capital-Backed</t>
        </is>
      </c>
      <c r="M112" s="151" t="n">
        <v>2.31</v>
      </c>
      <c r="N112" s="152" t="inlineStr">
        <is>
          <t>Generating Revenue</t>
        </is>
      </c>
      <c r="O112" s="153" t="inlineStr">
        <is>
          <t>Privately Held (backing)</t>
        </is>
      </c>
      <c r="P112" s="154" t="inlineStr">
        <is>
          <t>Venture Capital</t>
        </is>
      </c>
      <c r="Q112" s="155" t="inlineStr">
        <is>
          <t>www.futureordering.com</t>
        </is>
      </c>
      <c r="R112" s="156" t="n">
        <v>13.0</v>
      </c>
      <c r="S112" s="157" t="inlineStr">
        <is>
          <t/>
        </is>
      </c>
      <c r="T112" s="158" t="inlineStr">
        <is>
          <t/>
        </is>
      </c>
      <c r="U112" s="159" t="n">
        <v>2015.0</v>
      </c>
      <c r="V112" s="160" t="inlineStr">
        <is>
          <t/>
        </is>
      </c>
      <c r="W112" s="161" t="inlineStr">
        <is>
          <t/>
        </is>
      </c>
      <c r="X112" s="162" t="inlineStr">
        <is>
          <t/>
        </is>
      </c>
      <c r="Y112" s="163" t="inlineStr">
        <is>
          <t/>
        </is>
      </c>
      <c r="Z112" s="164" t="inlineStr">
        <is>
          <t/>
        </is>
      </c>
      <c r="AA112" s="165" t="n">
        <v>-0.00949</v>
      </c>
      <c r="AB112" s="166" t="inlineStr">
        <is>
          <t/>
        </is>
      </c>
      <c r="AC112" s="167" t="n">
        <v>-0.00949</v>
      </c>
      <c r="AD112" s="168" t="inlineStr">
        <is>
          <t>FY 2016</t>
        </is>
      </c>
      <c r="AE112" s="169" t="inlineStr">
        <is>
          <t>171379-99P</t>
        </is>
      </c>
      <c r="AF112" s="170" t="inlineStr">
        <is>
          <t>Andreas Stormvinge</t>
        </is>
      </c>
      <c r="AG112" s="171" t="inlineStr">
        <is>
          <t>Chief Executive Officer &amp; Co-Founder</t>
        </is>
      </c>
      <c r="AH112" s="172" t="inlineStr">
        <is>
          <t>andreas.stormvinge@futureordering.com</t>
        </is>
      </c>
      <c r="AI112" s="173" t="inlineStr">
        <is>
          <t>+46 (0)70-519 30 60</t>
        </is>
      </c>
      <c r="AJ112" s="174" t="inlineStr">
        <is>
          <t>Stockholm, Sweden</t>
        </is>
      </c>
      <c r="AK112" s="175" t="inlineStr">
        <is>
          <t>C/o United Spaces, Box 190</t>
        </is>
      </c>
      <c r="AL112" s="176" t="inlineStr">
        <is>
          <t/>
        </is>
      </c>
      <c r="AM112" s="177" t="inlineStr">
        <is>
          <t>Stockholm</t>
        </is>
      </c>
      <c r="AN112" s="178" t="inlineStr">
        <is>
          <t/>
        </is>
      </c>
      <c r="AO112" s="179" t="inlineStr">
        <is>
          <t>101 23</t>
        </is>
      </c>
      <c r="AP112" s="180" t="inlineStr">
        <is>
          <t>Sweden</t>
        </is>
      </c>
      <c r="AQ112" s="181" t="inlineStr">
        <is>
          <t>+46 (0)8 - 15 30 60</t>
        </is>
      </c>
      <c r="AR112" s="182" t="inlineStr">
        <is>
          <t/>
        </is>
      </c>
      <c r="AS112" s="183" t="inlineStr">
        <is>
          <t>info@futureordering.com</t>
        </is>
      </c>
      <c r="AT112" s="184" t="inlineStr">
        <is>
          <t>Europe</t>
        </is>
      </c>
      <c r="AU112" s="185" t="inlineStr">
        <is>
          <t>Northern Europe</t>
        </is>
      </c>
      <c r="AV112" s="186" t="inlineStr">
        <is>
          <t>The company raised SEK 22 million of venture funding from Fort Knox Förvaring, Almi Invest and Partnerinvest Norr on September 6, 2017. The company will use this funding to aggressively expand the business operations.</t>
        </is>
      </c>
      <c r="AW112" s="187" t="inlineStr">
        <is>
          <t>Almi Invest, Fort Knox Förvaring, Partnerinvest Norr</t>
        </is>
      </c>
      <c r="AX112" s="188" t="n">
        <v>3.0</v>
      </c>
      <c r="AY112" s="189" t="inlineStr">
        <is>
          <t/>
        </is>
      </c>
      <c r="AZ112" s="190" t="inlineStr">
        <is>
          <t/>
        </is>
      </c>
      <c r="BA112" s="191" t="inlineStr">
        <is>
          <t/>
        </is>
      </c>
      <c r="BB112" s="192" t="inlineStr">
        <is>
          <t>Partnerinvest Norr (www.partnerinvestnorr.se)</t>
        </is>
      </c>
      <c r="BC112" s="193" t="inlineStr">
        <is>
          <t/>
        </is>
      </c>
      <c r="BD112" s="194" t="inlineStr">
        <is>
          <t/>
        </is>
      </c>
      <c r="BE112" s="195" t="inlineStr">
        <is>
          <t/>
        </is>
      </c>
      <c r="BF112" s="196" t="inlineStr">
        <is>
          <t/>
        </is>
      </c>
      <c r="BG112" s="197" t="n">
        <v>42984.0</v>
      </c>
      <c r="BH112" s="198" t="n">
        <v>2.31</v>
      </c>
      <c r="BI112" s="199" t="inlineStr">
        <is>
          <t>Actual</t>
        </is>
      </c>
      <c r="BJ112" s="200" t="inlineStr">
        <is>
          <t/>
        </is>
      </c>
      <c r="BK112" s="201" t="inlineStr">
        <is>
          <t/>
        </is>
      </c>
      <c r="BL112" s="202" t="inlineStr">
        <is>
          <t>Early Stage VC</t>
        </is>
      </c>
      <c r="BM112" s="203" t="inlineStr">
        <is>
          <t/>
        </is>
      </c>
      <c r="BN112" s="204" t="inlineStr">
        <is>
          <t/>
        </is>
      </c>
      <c r="BO112" s="205" t="inlineStr">
        <is>
          <t>Venture Capital</t>
        </is>
      </c>
      <c r="BP112" s="206" t="inlineStr">
        <is>
          <t/>
        </is>
      </c>
      <c r="BQ112" s="207" t="inlineStr">
        <is>
          <t/>
        </is>
      </c>
      <c r="BR112" s="208" t="inlineStr">
        <is>
          <t/>
        </is>
      </c>
      <c r="BS112" s="209" t="inlineStr">
        <is>
          <t>Completed</t>
        </is>
      </c>
      <c r="BT112" s="210" t="n">
        <v>42984.0</v>
      </c>
      <c r="BU112" s="211" t="n">
        <v>2.31</v>
      </c>
      <c r="BV112" s="212" t="inlineStr">
        <is>
          <t>Actual</t>
        </is>
      </c>
      <c r="BW112" s="213" t="inlineStr">
        <is>
          <t/>
        </is>
      </c>
      <c r="BX112" s="214" t="inlineStr">
        <is>
          <t/>
        </is>
      </c>
      <c r="BY112" s="215" t="inlineStr">
        <is>
          <t>Early Stage VC</t>
        </is>
      </c>
      <c r="BZ112" s="216" t="inlineStr">
        <is>
          <t/>
        </is>
      </c>
      <c r="CA112" s="217" t="inlineStr">
        <is>
          <t/>
        </is>
      </c>
      <c r="CB112" s="218" t="inlineStr">
        <is>
          <t>Venture Capital</t>
        </is>
      </c>
      <c r="CC112" s="219" t="inlineStr">
        <is>
          <t/>
        </is>
      </c>
      <c r="CD112" s="220" t="inlineStr">
        <is>
          <t/>
        </is>
      </c>
      <c r="CE112" s="221" t="inlineStr">
        <is>
          <t/>
        </is>
      </c>
      <c r="CF112" s="222" t="inlineStr">
        <is>
          <t>Completed</t>
        </is>
      </c>
      <c r="CG112" s="223" t="inlineStr">
        <is>
          <t>0,00%</t>
        </is>
      </c>
      <c r="CH112" s="224" t="inlineStr">
        <is>
          <t>33</t>
        </is>
      </c>
      <c r="CI112" s="225" t="inlineStr">
        <is>
          <t>0,00%</t>
        </is>
      </c>
      <c r="CJ112" s="226" t="inlineStr">
        <is>
          <t>0,00%</t>
        </is>
      </c>
      <c r="CK112" s="227" t="inlineStr">
        <is>
          <t>0,00%</t>
        </is>
      </c>
      <c r="CL112" s="228" t="inlineStr">
        <is>
          <t>28</t>
        </is>
      </c>
      <c r="CM112" s="229" t="inlineStr">
        <is>
          <t>0,00%</t>
        </is>
      </c>
      <c r="CN112" s="230" t="inlineStr">
        <is>
          <t>20</t>
        </is>
      </c>
      <c r="CO112" s="231" t="inlineStr">
        <is>
          <t/>
        </is>
      </c>
      <c r="CP112" s="232" t="inlineStr">
        <is>
          <t/>
        </is>
      </c>
      <c r="CQ112" s="233" t="inlineStr">
        <is>
          <t>0,00%</t>
        </is>
      </c>
      <c r="CR112" s="234" t="inlineStr">
        <is>
          <t>20</t>
        </is>
      </c>
      <c r="CS112" s="235" t="inlineStr">
        <is>
          <t>0,00%</t>
        </is>
      </c>
      <c r="CT112" s="236" t="inlineStr">
        <is>
          <t>18</t>
        </is>
      </c>
      <c r="CU112" s="237" t="inlineStr">
        <is>
          <t>0,00%</t>
        </is>
      </c>
      <c r="CV112" s="238" t="inlineStr">
        <is>
          <t>21</t>
        </is>
      </c>
      <c r="CW112" s="239" t="inlineStr">
        <is>
          <t>0,14x</t>
        </is>
      </c>
      <c r="CX112" s="240" t="inlineStr">
        <is>
          <t>11</t>
        </is>
      </c>
      <c r="CY112" s="241" t="inlineStr">
        <is>
          <t>0,11x</t>
        </is>
      </c>
      <c r="CZ112" s="242" t="inlineStr">
        <is>
          <t>328,97%</t>
        </is>
      </c>
      <c r="DA112" s="243" t="inlineStr">
        <is>
          <t>0,25x</t>
        </is>
      </c>
      <c r="DB112" s="244" t="inlineStr">
        <is>
          <t>21</t>
        </is>
      </c>
      <c r="DC112" s="245" t="inlineStr">
        <is>
          <t>0,03x</t>
        </is>
      </c>
      <c r="DD112" s="246" t="inlineStr">
        <is>
          <t>5</t>
        </is>
      </c>
      <c r="DE112" s="247" t="inlineStr">
        <is>
          <t/>
        </is>
      </c>
      <c r="DF112" s="248" t="inlineStr">
        <is>
          <t/>
        </is>
      </c>
      <c r="DG112" s="249" t="inlineStr">
        <is>
          <t>0,25x</t>
        </is>
      </c>
      <c r="DH112" s="250" t="inlineStr">
        <is>
          <t>22</t>
        </is>
      </c>
      <c r="DI112" s="251" t="inlineStr">
        <is>
          <t>0,03x</t>
        </is>
      </c>
      <c r="DJ112" s="252" t="inlineStr">
        <is>
          <t>5</t>
        </is>
      </c>
      <c r="DK112" s="253" t="inlineStr">
        <is>
          <t>0,03x</t>
        </is>
      </c>
      <c r="DL112" s="254" t="inlineStr">
        <is>
          <t>7</t>
        </is>
      </c>
      <c r="DM112" s="255" t="inlineStr">
        <is>
          <t/>
        </is>
      </c>
      <c r="DN112" s="256" t="inlineStr">
        <is>
          <t/>
        </is>
      </c>
      <c r="DO112" s="257" t="inlineStr">
        <is>
          <t/>
        </is>
      </c>
      <c r="DP112" s="258" t="inlineStr">
        <is>
          <t>26</t>
        </is>
      </c>
      <c r="DQ112" s="259" t="inlineStr">
        <is>
          <t>0</t>
        </is>
      </c>
      <c r="DR112" s="260" t="inlineStr">
        <is>
          <t>0,00%</t>
        </is>
      </c>
      <c r="DS112" s="261" t="inlineStr">
        <is>
          <t>8</t>
        </is>
      </c>
      <c r="DT112" s="262" t="inlineStr">
        <is>
          <t>0</t>
        </is>
      </c>
      <c r="DU112" s="263" t="inlineStr">
        <is>
          <t>0,00%</t>
        </is>
      </c>
      <c r="DV112" s="264" t="inlineStr">
        <is>
          <t>13</t>
        </is>
      </c>
      <c r="DW112" s="265" t="inlineStr">
        <is>
          <t>0</t>
        </is>
      </c>
      <c r="DX112" s="266" t="inlineStr">
        <is>
          <t>0,00%</t>
        </is>
      </c>
      <c r="DY112" s="267" t="inlineStr">
        <is>
          <t>PitchBook Research</t>
        </is>
      </c>
      <c r="DZ112" s="786">
        <f>HYPERLINK("https://my.pitchbook.com?c=186664-78", "View company online")</f>
      </c>
    </row>
    <row r="113">
      <c r="A113" s="9" t="inlineStr">
        <is>
          <t>104042-80</t>
        </is>
      </c>
      <c r="B113" s="10" t="inlineStr">
        <is>
          <t>Minut</t>
        </is>
      </c>
      <c r="C113" s="11" t="inlineStr">
        <is>
          <t>Form Devices</t>
        </is>
      </c>
      <c r="D113" s="12" t="inlineStr">
        <is>
          <t/>
        </is>
      </c>
      <c r="E113" s="13" t="inlineStr">
        <is>
          <t>104042-80</t>
        </is>
      </c>
      <c r="F113" s="14" t="inlineStr">
        <is>
          <t>Provider of security devices for homes designed to monitor homes. The company's home watch device combines sound and sensor data to recognize events of the user, it analyzes sound and environmental data and comes with an array of sensors and a particle detector such that it can sense smoke and other common home hazards, enabling home owners to keep their peace of mind and learn how their home felt when it was calm.</t>
        </is>
      </c>
      <c r="G113" s="15" t="inlineStr">
        <is>
          <t>Business Products and Services (B2B)</t>
        </is>
      </c>
      <c r="H113" s="16" t="inlineStr">
        <is>
          <t>Commercial Services</t>
        </is>
      </c>
      <c r="I113" s="17" t="inlineStr">
        <is>
          <t>Security Services (B2B)</t>
        </is>
      </c>
      <c r="J113" s="18" t="inlineStr">
        <is>
          <t>Security Services (B2B)*</t>
        </is>
      </c>
      <c r="K113" s="19" t="inlineStr">
        <is>
          <t>Artificial Intelligence &amp; Machine Learning, Internet of Things</t>
        </is>
      </c>
      <c r="L113" s="20" t="inlineStr">
        <is>
          <t>Venture Capital-Backed</t>
        </is>
      </c>
      <c r="M113" s="21" t="n">
        <v>2.4</v>
      </c>
      <c r="N113" s="22" t="inlineStr">
        <is>
          <t>Startup</t>
        </is>
      </c>
      <c r="O113" s="23" t="inlineStr">
        <is>
          <t>Privately Held (backing)</t>
        </is>
      </c>
      <c r="P113" s="24" t="inlineStr">
        <is>
          <t>Venture Capital</t>
        </is>
      </c>
      <c r="Q113" s="25" t="inlineStr">
        <is>
          <t>www.minut.com</t>
        </is>
      </c>
      <c r="R113" s="26" t="n">
        <v>6.0</v>
      </c>
      <c r="S113" s="27" t="inlineStr">
        <is>
          <t/>
        </is>
      </c>
      <c r="T113" s="28" t="inlineStr">
        <is>
          <t/>
        </is>
      </c>
      <c r="U113" s="29" t="n">
        <v>2014.0</v>
      </c>
      <c r="V113" s="30" t="inlineStr">
        <is>
          <t/>
        </is>
      </c>
      <c r="W113" s="31" t="inlineStr">
        <is>
          <t/>
        </is>
      </c>
      <c r="X113" s="32" t="inlineStr">
        <is>
          <t/>
        </is>
      </c>
      <c r="Y113" s="33" t="inlineStr">
        <is>
          <t/>
        </is>
      </c>
      <c r="Z113" s="34" t="inlineStr">
        <is>
          <t/>
        </is>
      </c>
      <c r="AA113" s="35" t="inlineStr">
        <is>
          <t/>
        </is>
      </c>
      <c r="AB113" s="36" t="inlineStr">
        <is>
          <t/>
        </is>
      </c>
      <c r="AC113" s="37" t="inlineStr">
        <is>
          <t/>
        </is>
      </c>
      <c r="AD113" s="38" t="inlineStr">
        <is>
          <t/>
        </is>
      </c>
      <c r="AE113" s="39" t="inlineStr">
        <is>
          <t>103021-39P</t>
        </is>
      </c>
      <c r="AF113" s="40" t="inlineStr">
        <is>
          <t>Marcus Ljungblad</t>
        </is>
      </c>
      <c r="AG113" s="41" t="inlineStr">
        <is>
          <t>Co-Founder</t>
        </is>
      </c>
      <c r="AH113" s="42" t="inlineStr">
        <is>
          <t>marcus@minut.com</t>
        </is>
      </c>
      <c r="AI113" s="43" t="inlineStr">
        <is>
          <t/>
        </is>
      </c>
      <c r="AJ113" s="44" t="inlineStr">
        <is>
          <t>Malmö, Sweden</t>
        </is>
      </c>
      <c r="AK113" s="45" t="inlineStr">
        <is>
          <t>Bredgatan 4</t>
        </is>
      </c>
      <c r="AL113" s="46" t="inlineStr">
        <is>
          <t/>
        </is>
      </c>
      <c r="AM113" s="47" t="inlineStr">
        <is>
          <t>Malmö</t>
        </is>
      </c>
      <c r="AN113" s="48" t="inlineStr">
        <is>
          <t/>
        </is>
      </c>
      <c r="AO113" s="49" t="inlineStr">
        <is>
          <t>211 30</t>
        </is>
      </c>
      <c r="AP113" s="50" t="inlineStr">
        <is>
          <t>Sweden</t>
        </is>
      </c>
      <c r="AQ113" s="51" t="inlineStr">
        <is>
          <t/>
        </is>
      </c>
      <c r="AR113" s="52" t="inlineStr">
        <is>
          <t/>
        </is>
      </c>
      <c r="AS113" s="53" t="inlineStr">
        <is>
          <t>contact@minut.com</t>
        </is>
      </c>
      <c r="AT113" s="54" t="inlineStr">
        <is>
          <t>Europe</t>
        </is>
      </c>
      <c r="AU113" s="55" t="inlineStr">
        <is>
          <t>Northern Europe</t>
        </is>
      </c>
      <c r="AV113" s="56" t="inlineStr">
        <is>
          <t>The company raised $2.52 million of seed funding from lead investor Karma Ventures on September 6, 2017. Nordic Makers, SOSV and other undisclosed investors also participated.</t>
        </is>
      </c>
      <c r="AW113" s="57" t="inlineStr">
        <is>
          <t>Anders Frankel, Don Lindsay, Hampus Jakobsson, Karma Ventures, Nordic Makers, Plug and Play Tech Center, SOSV, SUP46, Tord Wingren</t>
        </is>
      </c>
      <c r="AX113" s="58" t="n">
        <v>9.0</v>
      </c>
      <c r="AY113" s="59" t="inlineStr">
        <is>
          <t/>
        </is>
      </c>
      <c r="AZ113" s="60" t="inlineStr">
        <is>
          <t/>
        </is>
      </c>
      <c r="BA113" s="61" t="inlineStr">
        <is>
          <t/>
        </is>
      </c>
      <c r="BB113" s="62" t="inlineStr">
        <is>
          <t>Karma Ventures (www.karma.vc), Nordic Makers (www.nordicmakers.vc), Plug and Play Tech Center (www.plugandplaytechcenter.com), SOSV (www.sosv.com), SUP46 (www.SUP46.com)</t>
        </is>
      </c>
      <c r="BC113" s="63" t="inlineStr">
        <is>
          <t/>
        </is>
      </c>
      <c r="BD113" s="64" t="inlineStr">
        <is>
          <t/>
        </is>
      </c>
      <c r="BE113" s="65" t="inlineStr">
        <is>
          <t/>
        </is>
      </c>
      <c r="BF113" s="66" t="inlineStr">
        <is>
          <t>Kickstarter (Lead Manager or Arranger)</t>
        </is>
      </c>
      <c r="BG113" s="67" t="inlineStr">
        <is>
          <t/>
        </is>
      </c>
      <c r="BH113" s="68" t="inlineStr">
        <is>
          <t/>
        </is>
      </c>
      <c r="BI113" s="69" t="inlineStr">
        <is>
          <t/>
        </is>
      </c>
      <c r="BJ113" s="70" t="inlineStr">
        <is>
          <t/>
        </is>
      </c>
      <c r="BK113" s="71" t="inlineStr">
        <is>
          <t/>
        </is>
      </c>
      <c r="BL113" s="72" t="inlineStr">
        <is>
          <t>Accelerator/Incubator</t>
        </is>
      </c>
      <c r="BM113" s="73" t="inlineStr">
        <is>
          <t/>
        </is>
      </c>
      <c r="BN113" s="74" t="inlineStr">
        <is>
          <t/>
        </is>
      </c>
      <c r="BO113" s="75" t="inlineStr">
        <is>
          <t>Other</t>
        </is>
      </c>
      <c r="BP113" s="76" t="inlineStr">
        <is>
          <t/>
        </is>
      </c>
      <c r="BQ113" s="77" t="inlineStr">
        <is>
          <t/>
        </is>
      </c>
      <c r="BR113" s="78" t="inlineStr">
        <is>
          <t/>
        </is>
      </c>
      <c r="BS113" s="79" t="inlineStr">
        <is>
          <t>Completed</t>
        </is>
      </c>
      <c r="BT113" s="80" t="n">
        <v>42984.0</v>
      </c>
      <c r="BU113" s="81" t="n">
        <v>2.12</v>
      </c>
      <c r="BV113" s="82" t="inlineStr">
        <is>
          <t>Actual</t>
        </is>
      </c>
      <c r="BW113" s="83" t="inlineStr">
        <is>
          <t/>
        </is>
      </c>
      <c r="BX113" s="84" t="inlineStr">
        <is>
          <t/>
        </is>
      </c>
      <c r="BY113" s="85" t="inlineStr">
        <is>
          <t>Seed Round</t>
        </is>
      </c>
      <c r="BZ113" s="86" t="inlineStr">
        <is>
          <t>Seed</t>
        </is>
      </c>
      <c r="CA113" s="87" t="inlineStr">
        <is>
          <t/>
        </is>
      </c>
      <c r="CB113" s="88" t="inlineStr">
        <is>
          <t>Venture Capital</t>
        </is>
      </c>
      <c r="CC113" s="89" t="inlineStr">
        <is>
          <t/>
        </is>
      </c>
      <c r="CD113" s="90" t="inlineStr">
        <is>
          <t/>
        </is>
      </c>
      <c r="CE113" s="91" t="inlineStr">
        <is>
          <t/>
        </is>
      </c>
      <c r="CF113" s="92" t="inlineStr">
        <is>
          <t>Completed</t>
        </is>
      </c>
      <c r="CG113" s="93" t="inlineStr">
        <is>
          <t>-2,50%</t>
        </is>
      </c>
      <c r="CH113" s="94" t="inlineStr">
        <is>
          <t>8</t>
        </is>
      </c>
      <c r="CI113" s="95" t="inlineStr">
        <is>
          <t>0,20%</t>
        </is>
      </c>
      <c r="CJ113" s="96" t="inlineStr">
        <is>
          <t>7,36%</t>
        </is>
      </c>
      <c r="CK113" s="97" t="inlineStr">
        <is>
          <t>-5,47%</t>
        </is>
      </c>
      <c r="CL113" s="98" t="inlineStr">
        <is>
          <t>7</t>
        </is>
      </c>
      <c r="CM113" s="99" t="inlineStr">
        <is>
          <t>0,47%</t>
        </is>
      </c>
      <c r="CN113" s="100" t="inlineStr">
        <is>
          <t>88</t>
        </is>
      </c>
      <c r="CO113" s="101" t="inlineStr">
        <is>
          <t>-5,47%</t>
        </is>
      </c>
      <c r="CP113" s="102" t="inlineStr">
        <is>
          <t>20</t>
        </is>
      </c>
      <c r="CQ113" s="103" t="inlineStr">
        <is>
          <t/>
        </is>
      </c>
      <c r="CR113" s="104" t="inlineStr">
        <is>
          <t/>
        </is>
      </c>
      <c r="CS113" s="105" t="inlineStr">
        <is>
          <t>0,94%</t>
        </is>
      </c>
      <c r="CT113" s="106" t="inlineStr">
        <is>
          <t>94</t>
        </is>
      </c>
      <c r="CU113" s="107" t="inlineStr">
        <is>
          <t>0,00%</t>
        </is>
      </c>
      <c r="CV113" s="108" t="inlineStr">
        <is>
          <t>21</t>
        </is>
      </c>
      <c r="CW113" s="109" t="inlineStr">
        <is>
          <t>1,34x</t>
        </is>
      </c>
      <c r="CX113" s="110" t="inlineStr">
        <is>
          <t>56</t>
        </is>
      </c>
      <c r="CY113" s="111" t="inlineStr">
        <is>
          <t>0,03x</t>
        </is>
      </c>
      <c r="CZ113" s="112" t="inlineStr">
        <is>
          <t>2,26%</t>
        </is>
      </c>
      <c r="DA113" s="113" t="inlineStr">
        <is>
          <t>0,88x</t>
        </is>
      </c>
      <c r="DB113" s="114" t="inlineStr">
        <is>
          <t>48</t>
        </is>
      </c>
      <c r="DC113" s="115" t="inlineStr">
        <is>
          <t>1,80x</t>
        </is>
      </c>
      <c r="DD113" s="116" t="inlineStr">
        <is>
          <t>60</t>
        </is>
      </c>
      <c r="DE113" s="117" t="inlineStr">
        <is>
          <t>0,88x</t>
        </is>
      </c>
      <c r="DF113" s="118" t="inlineStr">
        <is>
          <t>47</t>
        </is>
      </c>
      <c r="DG113" s="119" t="inlineStr">
        <is>
          <t/>
        </is>
      </c>
      <c r="DH113" s="120" t="inlineStr">
        <is>
          <t/>
        </is>
      </c>
      <c r="DI113" s="121" t="inlineStr">
        <is>
          <t>1,49x</t>
        </is>
      </c>
      <c r="DJ113" s="122" t="inlineStr">
        <is>
          <t>57</t>
        </is>
      </c>
      <c r="DK113" s="123" t="inlineStr">
        <is>
          <t>2,11x</t>
        </is>
      </c>
      <c r="DL113" s="124" t="inlineStr">
        <is>
          <t>65</t>
        </is>
      </c>
      <c r="DM113" s="125" t="inlineStr">
        <is>
          <t>320</t>
        </is>
      </c>
      <c r="DN113" s="126" t="inlineStr">
        <is>
          <t>27</t>
        </is>
      </c>
      <c r="DO113" s="127" t="inlineStr">
        <is>
          <t>9,22%</t>
        </is>
      </c>
      <c r="DP113" s="128" t="inlineStr">
        <is>
          <t>1.150</t>
        </is>
      </c>
      <c r="DQ113" s="129" t="inlineStr">
        <is>
          <t>57</t>
        </is>
      </c>
      <c r="DR113" s="130" t="inlineStr">
        <is>
          <t>5,22%</t>
        </is>
      </c>
      <c r="DS113" s="131" t="inlineStr">
        <is>
          <t/>
        </is>
      </c>
      <c r="DT113" s="132" t="inlineStr">
        <is>
          <t/>
        </is>
      </c>
      <c r="DU113" s="133" t="inlineStr">
        <is>
          <t/>
        </is>
      </c>
      <c r="DV113" s="134" t="inlineStr">
        <is>
          <t>782</t>
        </is>
      </c>
      <c r="DW113" s="135" t="inlineStr">
        <is>
          <t>11</t>
        </is>
      </c>
      <c r="DX113" s="136" t="inlineStr">
        <is>
          <t>1,43%</t>
        </is>
      </c>
      <c r="DY113" s="137" t="inlineStr">
        <is>
          <t>PitchBook Research</t>
        </is>
      </c>
      <c r="DZ113" s="785">
        <f>HYPERLINK("https://my.pitchbook.com?c=104042-80", "View company online")</f>
      </c>
    </row>
    <row r="114">
      <c r="A114" s="139" t="inlineStr">
        <is>
          <t>55128-43</t>
        </is>
      </c>
      <c r="B114" s="140" t="inlineStr">
        <is>
          <t>PastBook</t>
        </is>
      </c>
      <c r="C114" s="141" t="inlineStr">
        <is>
          <t/>
        </is>
      </c>
      <c r="D114" s="142" t="inlineStr">
        <is>
          <t/>
        </is>
      </c>
      <c r="E114" s="143" t="inlineStr">
        <is>
          <t>55128-43</t>
        </is>
      </c>
      <c r="F114" s="144" t="inlineStr">
        <is>
          <t>Provider of an intelligent instant photo book platform intended to provide the most frictionless way to create a photo book from any source. The company's intelligent instant photo book platform uses algorithm which combines a huge range of data with smart technology to automatically select the user's best photos (with their captions and dates) from a chosen time period and instantly arranges them into a photo book within 60 seconds, without requiring user interaction, enabling users to collect photos from social networks and develop personalized albums that can be printed.</t>
        </is>
      </c>
      <c r="G114" s="145" t="inlineStr">
        <is>
          <t>Information Technology</t>
        </is>
      </c>
      <c r="H114" s="146" t="inlineStr">
        <is>
          <t>Software</t>
        </is>
      </c>
      <c r="I114" s="147" t="inlineStr">
        <is>
          <t>Application Software</t>
        </is>
      </c>
      <c r="J114" s="148" t="inlineStr">
        <is>
          <t>Application Software*; Multimedia and Design Software</t>
        </is>
      </c>
      <c r="K114" s="149" t="inlineStr">
        <is>
          <t>Mobile, SaaS</t>
        </is>
      </c>
      <c r="L114" s="150" t="inlineStr">
        <is>
          <t>Venture Capital-Backed</t>
        </is>
      </c>
      <c r="M114" s="151" t="n">
        <v>2.44</v>
      </c>
      <c r="N114" s="152" t="inlineStr">
        <is>
          <t>Generating Revenue</t>
        </is>
      </c>
      <c r="O114" s="153" t="inlineStr">
        <is>
          <t>Privately Held (backing)</t>
        </is>
      </c>
      <c r="P114" s="154" t="inlineStr">
        <is>
          <t>Venture Capital</t>
        </is>
      </c>
      <c r="Q114" s="155" t="inlineStr">
        <is>
          <t>www.pastbook.com</t>
        </is>
      </c>
      <c r="R114" s="156" t="n">
        <v>8.0</v>
      </c>
      <c r="S114" s="157" t="inlineStr">
        <is>
          <t/>
        </is>
      </c>
      <c r="T114" s="158" t="inlineStr">
        <is>
          <t/>
        </is>
      </c>
      <c r="U114" s="159" t="n">
        <v>2012.0</v>
      </c>
      <c r="V114" s="160" t="inlineStr">
        <is>
          <t/>
        </is>
      </c>
      <c r="W114" s="161" t="inlineStr">
        <is>
          <t/>
        </is>
      </c>
      <c r="X114" s="162" t="inlineStr">
        <is>
          <t/>
        </is>
      </c>
      <c r="Y114" s="163" t="n">
        <v>2.03958</v>
      </c>
      <c r="Z114" s="164" t="inlineStr">
        <is>
          <t/>
        </is>
      </c>
      <c r="AA114" s="165" t="inlineStr">
        <is>
          <t/>
        </is>
      </c>
      <c r="AB114" s="166" t="inlineStr">
        <is>
          <t/>
        </is>
      </c>
      <c r="AC114" s="167" t="inlineStr">
        <is>
          <t/>
        </is>
      </c>
      <c r="AD114" s="168" t="inlineStr">
        <is>
          <t>FY 2015</t>
        </is>
      </c>
      <c r="AE114" s="169" t="inlineStr">
        <is>
          <t>46580-68P</t>
        </is>
      </c>
      <c r="AF114" s="170" t="inlineStr">
        <is>
          <t>Stefano Cutello</t>
        </is>
      </c>
      <c r="AG114" s="171" t="inlineStr">
        <is>
          <t>Chief Executive Officer &amp; Co-Founder</t>
        </is>
      </c>
      <c r="AH114" s="172" t="inlineStr">
        <is>
          <t>stefano@pastbook.it</t>
        </is>
      </c>
      <c r="AI114" s="173" t="inlineStr">
        <is>
          <t>+31 (0)63 812 3898</t>
        </is>
      </c>
      <c r="AJ114" s="174" t="inlineStr">
        <is>
          <t>Amsterdam, Netherlands</t>
        </is>
      </c>
      <c r="AK114" s="175" t="inlineStr">
        <is>
          <t>Herengracht 69c</t>
        </is>
      </c>
      <c r="AL114" s="176" t="inlineStr">
        <is>
          <t/>
        </is>
      </c>
      <c r="AM114" s="177" t="inlineStr">
        <is>
          <t>Amsterdam</t>
        </is>
      </c>
      <c r="AN114" s="178" t="inlineStr">
        <is>
          <t/>
        </is>
      </c>
      <c r="AO114" s="179" t="inlineStr">
        <is>
          <t>1015 BD</t>
        </is>
      </c>
      <c r="AP114" s="180" t="inlineStr">
        <is>
          <t>Netherlands</t>
        </is>
      </c>
      <c r="AQ114" s="181" t="inlineStr">
        <is>
          <t/>
        </is>
      </c>
      <c r="AR114" s="182" t="inlineStr">
        <is>
          <t/>
        </is>
      </c>
      <c r="AS114" s="183" t="inlineStr">
        <is>
          <t>help@pastbook.com</t>
        </is>
      </c>
      <c r="AT114" s="184" t="inlineStr">
        <is>
          <t>Europe</t>
        </is>
      </c>
      <c r="AU114" s="185" t="inlineStr">
        <is>
          <t>Western Europe</t>
        </is>
      </c>
      <c r="AV114" s="186" t="inlineStr">
        <is>
          <t>The company raised $2 million of venture funding from Vortex Capital Partners and other undisclosed investors on September 21, 2017.</t>
        </is>
      </c>
      <c r="AW114" s="187" t="inlineStr">
        <is>
          <t>Chang Ng, Dinko Valerio, Ian Zein, Noro Venture Capital, RockStart Accelerator, Vidoze, Vortex Capital Partners</t>
        </is>
      </c>
      <c r="AX114" s="188" t="n">
        <v>7.0</v>
      </c>
      <c r="AY114" s="189" t="inlineStr">
        <is>
          <t/>
        </is>
      </c>
      <c r="AZ114" s="190" t="inlineStr">
        <is>
          <t/>
        </is>
      </c>
      <c r="BA114" s="191" t="inlineStr">
        <is>
          <t/>
        </is>
      </c>
      <c r="BB114" s="192" t="inlineStr">
        <is>
          <t>Noro Venture Capital (www.noroventurecapital.nl), RockStart Accelerator (www.rockstart.com), Vidoze (www.vidoze.com), Vortex Capital Partners (www.vortexcp.com)</t>
        </is>
      </c>
      <c r="BC114" s="193" t="inlineStr">
        <is>
          <t/>
        </is>
      </c>
      <c r="BD114" s="194" t="inlineStr">
        <is>
          <t/>
        </is>
      </c>
      <c r="BE114" s="195" t="inlineStr">
        <is>
          <t/>
        </is>
      </c>
      <c r="BF114" s="196" t="inlineStr">
        <is>
          <t/>
        </is>
      </c>
      <c r="BG114" s="197" t="n">
        <v>40993.0</v>
      </c>
      <c r="BH114" s="198" t="n">
        <v>0.02</v>
      </c>
      <c r="BI114" s="199" t="inlineStr">
        <is>
          <t>Actual</t>
        </is>
      </c>
      <c r="BJ114" s="200" t="inlineStr">
        <is>
          <t/>
        </is>
      </c>
      <c r="BK114" s="201" t="inlineStr">
        <is>
          <t/>
        </is>
      </c>
      <c r="BL114" s="202" t="inlineStr">
        <is>
          <t>Accelerator/Incubator</t>
        </is>
      </c>
      <c r="BM114" s="203" t="inlineStr">
        <is>
          <t/>
        </is>
      </c>
      <c r="BN114" s="204" t="inlineStr">
        <is>
          <t/>
        </is>
      </c>
      <c r="BO114" s="205" t="inlineStr">
        <is>
          <t>Other</t>
        </is>
      </c>
      <c r="BP114" s="206" t="inlineStr">
        <is>
          <t/>
        </is>
      </c>
      <c r="BQ114" s="207" t="inlineStr">
        <is>
          <t/>
        </is>
      </c>
      <c r="BR114" s="208" t="inlineStr">
        <is>
          <t/>
        </is>
      </c>
      <c r="BS114" s="209" t="inlineStr">
        <is>
          <t>Completed</t>
        </is>
      </c>
      <c r="BT114" s="210" t="n">
        <v>42999.0</v>
      </c>
      <c r="BU114" s="211" t="n">
        <v>1.68</v>
      </c>
      <c r="BV114" s="212" t="inlineStr">
        <is>
          <t>Actual</t>
        </is>
      </c>
      <c r="BW114" s="213" t="inlineStr">
        <is>
          <t/>
        </is>
      </c>
      <c r="BX114" s="214" t="inlineStr">
        <is>
          <t/>
        </is>
      </c>
      <c r="BY114" s="215" t="inlineStr">
        <is>
          <t>Early Stage VC</t>
        </is>
      </c>
      <c r="BZ114" s="216" t="inlineStr">
        <is>
          <t/>
        </is>
      </c>
      <c r="CA114" s="217" t="inlineStr">
        <is>
          <t/>
        </is>
      </c>
      <c r="CB114" s="218" t="inlineStr">
        <is>
          <t>Venture Capital</t>
        </is>
      </c>
      <c r="CC114" s="219" t="inlineStr">
        <is>
          <t/>
        </is>
      </c>
      <c r="CD114" s="220" t="inlineStr">
        <is>
          <t/>
        </is>
      </c>
      <c r="CE114" s="221" t="inlineStr">
        <is>
          <t/>
        </is>
      </c>
      <c r="CF114" s="222" t="inlineStr">
        <is>
          <t>Completed</t>
        </is>
      </c>
      <c r="CG114" s="223" t="inlineStr">
        <is>
          <t>-6,06%</t>
        </is>
      </c>
      <c r="CH114" s="224" t="inlineStr">
        <is>
          <t>3</t>
        </is>
      </c>
      <c r="CI114" s="225" t="inlineStr">
        <is>
          <t>0,02%</t>
        </is>
      </c>
      <c r="CJ114" s="226" t="inlineStr">
        <is>
          <t>0,31%</t>
        </is>
      </c>
      <c r="CK114" s="227" t="inlineStr">
        <is>
          <t>-13,42%</t>
        </is>
      </c>
      <c r="CL114" s="228" t="inlineStr">
        <is>
          <t>2</t>
        </is>
      </c>
      <c r="CM114" s="229" t="inlineStr">
        <is>
          <t>1,30%</t>
        </is>
      </c>
      <c r="CN114" s="230" t="inlineStr">
        <is>
          <t>97</t>
        </is>
      </c>
      <c r="CO114" s="231" t="inlineStr">
        <is>
          <t>-13,42%</t>
        </is>
      </c>
      <c r="CP114" s="232" t="inlineStr">
        <is>
          <t>9</t>
        </is>
      </c>
      <c r="CQ114" s="233" t="inlineStr">
        <is>
          <t/>
        </is>
      </c>
      <c r="CR114" s="234" t="inlineStr">
        <is>
          <t/>
        </is>
      </c>
      <c r="CS114" s="235" t="inlineStr">
        <is>
          <t>1,99%</t>
        </is>
      </c>
      <c r="CT114" s="236" t="inlineStr">
        <is>
          <t>98</t>
        </is>
      </c>
      <c r="CU114" s="237" t="inlineStr">
        <is>
          <t>0,60%</t>
        </is>
      </c>
      <c r="CV114" s="238" t="inlineStr">
        <is>
          <t>93</t>
        </is>
      </c>
      <c r="CW114" s="239" t="inlineStr">
        <is>
          <t>29,88x</t>
        </is>
      </c>
      <c r="CX114" s="240" t="inlineStr">
        <is>
          <t>95</t>
        </is>
      </c>
      <c r="CY114" s="241" t="inlineStr">
        <is>
          <t>0,02x</t>
        </is>
      </c>
      <c r="CZ114" s="242" t="inlineStr">
        <is>
          <t>0,08%</t>
        </is>
      </c>
      <c r="DA114" s="243" t="inlineStr">
        <is>
          <t>14,61x</t>
        </is>
      </c>
      <c r="DB114" s="244" t="inlineStr">
        <is>
          <t>92</t>
        </is>
      </c>
      <c r="DC114" s="245" t="inlineStr">
        <is>
          <t>45,16x</t>
        </is>
      </c>
      <c r="DD114" s="246" t="inlineStr">
        <is>
          <t>94</t>
        </is>
      </c>
      <c r="DE114" s="247" t="inlineStr">
        <is>
          <t>14,61x</t>
        </is>
      </c>
      <c r="DF114" s="248" t="inlineStr">
        <is>
          <t>91</t>
        </is>
      </c>
      <c r="DG114" s="249" t="inlineStr">
        <is>
          <t/>
        </is>
      </c>
      <c r="DH114" s="250" t="inlineStr">
        <is>
          <t/>
        </is>
      </c>
      <c r="DI114" s="251" t="inlineStr">
        <is>
          <t>82,45x</t>
        </is>
      </c>
      <c r="DJ114" s="252" t="inlineStr">
        <is>
          <t>94</t>
        </is>
      </c>
      <c r="DK114" s="253" t="inlineStr">
        <is>
          <t>7,87x</t>
        </is>
      </c>
      <c r="DL114" s="254" t="inlineStr">
        <is>
          <t>85</t>
        </is>
      </c>
      <c r="DM114" s="255" t="inlineStr">
        <is>
          <t>5.480</t>
        </is>
      </c>
      <c r="DN114" s="256" t="inlineStr">
        <is>
          <t>-307</t>
        </is>
      </c>
      <c r="DO114" s="257" t="inlineStr">
        <is>
          <t>-5,30%</t>
        </is>
      </c>
      <c r="DP114" s="258" t="inlineStr">
        <is>
          <t>65.077</t>
        </is>
      </c>
      <c r="DQ114" s="259" t="inlineStr">
        <is>
          <t>689</t>
        </is>
      </c>
      <c r="DR114" s="260" t="inlineStr">
        <is>
          <t>1,07%</t>
        </is>
      </c>
      <c r="DS114" s="261" t="inlineStr">
        <is>
          <t/>
        </is>
      </c>
      <c r="DT114" s="262" t="inlineStr">
        <is>
          <t/>
        </is>
      </c>
      <c r="DU114" s="263" t="inlineStr">
        <is>
          <t/>
        </is>
      </c>
      <c r="DV114" s="264" t="inlineStr">
        <is>
          <t>2.941</t>
        </is>
      </c>
      <c r="DW114" s="265" t="inlineStr">
        <is>
          <t>29</t>
        </is>
      </c>
      <c r="DX114" s="266" t="inlineStr">
        <is>
          <t>1,00%</t>
        </is>
      </c>
      <c r="DY114" s="267" t="inlineStr">
        <is>
          <t>PitchBook Research</t>
        </is>
      </c>
      <c r="DZ114" s="786">
        <f>HYPERLINK("https://my.pitchbook.com?c=55128-43", "View company online")</f>
      </c>
    </row>
    <row r="115">
      <c r="A115" s="9" t="inlineStr">
        <is>
          <t>173768-68</t>
        </is>
      </c>
      <c r="B115" s="10" t="inlineStr">
        <is>
          <t>Billin</t>
        </is>
      </c>
      <c r="C115" s="11" t="inlineStr">
        <is>
          <t/>
        </is>
      </c>
      <c r="D115" s="12" t="inlineStr">
        <is>
          <t>My Expenses</t>
        </is>
      </c>
      <c r="E115" s="13" t="inlineStr">
        <is>
          <t>173768-68</t>
        </is>
      </c>
      <c r="F115" s="14" t="inlineStr">
        <is>
          <t>Provider of a free billing platform designed to create and manage business invoices efficiently. The company's free billing platform offers a way of exchanging invoices with customers and suppliers, enabling SMEs and agencies to make transactions simple, safe and collect money faster and easier.</t>
        </is>
      </c>
      <c r="G115" s="15" t="inlineStr">
        <is>
          <t>Information Technology</t>
        </is>
      </c>
      <c r="H115" s="16" t="inlineStr">
        <is>
          <t>Software</t>
        </is>
      </c>
      <c r="I115" s="17" t="inlineStr">
        <is>
          <t>Application Software</t>
        </is>
      </c>
      <c r="J115" s="18" t="inlineStr">
        <is>
          <t>Application Software*; Vertical Market Software; Financial Software</t>
        </is>
      </c>
      <c r="K115" s="19" t="inlineStr">
        <is>
          <t>FinTech, Mobile, SaaS</t>
        </is>
      </c>
      <c r="L115" s="20" t="inlineStr">
        <is>
          <t>Venture Capital-Backed</t>
        </is>
      </c>
      <c r="M115" s="21" t="n">
        <v>2.5</v>
      </c>
      <c r="N115" s="22" t="inlineStr">
        <is>
          <t>Generating Revenue</t>
        </is>
      </c>
      <c r="O115" s="23" t="inlineStr">
        <is>
          <t>Privately Held (backing)</t>
        </is>
      </c>
      <c r="P115" s="24" t="inlineStr">
        <is>
          <t>Venture Capital</t>
        </is>
      </c>
      <c r="Q115" s="25" t="inlineStr">
        <is>
          <t>www.billin.net</t>
        </is>
      </c>
      <c r="R115" s="26" t="inlineStr">
        <is>
          <t/>
        </is>
      </c>
      <c r="S115" s="27" t="inlineStr">
        <is>
          <t/>
        </is>
      </c>
      <c r="T115" s="28" t="inlineStr">
        <is>
          <t/>
        </is>
      </c>
      <c r="U115" s="29" t="n">
        <v>2014.0</v>
      </c>
      <c r="V115" s="30" t="inlineStr">
        <is>
          <t/>
        </is>
      </c>
      <c r="W115" s="31" t="inlineStr">
        <is>
          <t/>
        </is>
      </c>
      <c r="X115" s="32" t="inlineStr">
        <is>
          <t/>
        </is>
      </c>
      <c r="Y115" s="33" t="inlineStr">
        <is>
          <t/>
        </is>
      </c>
      <c r="Z115" s="34" t="inlineStr">
        <is>
          <t/>
        </is>
      </c>
      <c r="AA115" s="35" t="inlineStr">
        <is>
          <t/>
        </is>
      </c>
      <c r="AB115" s="36" t="inlineStr">
        <is>
          <t/>
        </is>
      </c>
      <c r="AC115" s="37" t="inlineStr">
        <is>
          <t/>
        </is>
      </c>
      <c r="AD115" s="38" t="inlineStr">
        <is>
          <t/>
        </is>
      </c>
      <c r="AE115" s="39" t="inlineStr">
        <is>
          <t>160666-84P</t>
        </is>
      </c>
      <c r="AF115" s="40" t="inlineStr">
        <is>
          <t>Marcos de la Cueva</t>
        </is>
      </c>
      <c r="AG115" s="41" t="inlineStr">
        <is>
          <t>Co-Founder &amp; Chief Executive Officer</t>
        </is>
      </c>
      <c r="AH115" s="42" t="inlineStr">
        <is>
          <t>marcos.delacueva@billin.net</t>
        </is>
      </c>
      <c r="AI115" s="43" t="inlineStr">
        <is>
          <t>+34 91 831 8883</t>
        </is>
      </c>
      <c r="AJ115" s="44" t="inlineStr">
        <is>
          <t>Madrid, Spain</t>
        </is>
      </c>
      <c r="AK115" s="45" t="inlineStr">
        <is>
          <t>Calle Talavera 4</t>
        </is>
      </c>
      <c r="AL115" s="46" t="inlineStr">
        <is>
          <t>Loft 2</t>
        </is>
      </c>
      <c r="AM115" s="47" t="inlineStr">
        <is>
          <t>Madrid</t>
        </is>
      </c>
      <c r="AN115" s="48" t="inlineStr">
        <is>
          <t/>
        </is>
      </c>
      <c r="AO115" s="49" t="inlineStr">
        <is>
          <t>28016</t>
        </is>
      </c>
      <c r="AP115" s="50" t="inlineStr">
        <is>
          <t>Spain</t>
        </is>
      </c>
      <c r="AQ115" s="51" t="inlineStr">
        <is>
          <t>+34 91 831 8883</t>
        </is>
      </c>
      <c r="AR115" s="52" t="inlineStr">
        <is>
          <t/>
        </is>
      </c>
      <c r="AS115" s="53" t="inlineStr">
        <is>
          <t>info@billin.eu</t>
        </is>
      </c>
      <c r="AT115" s="54" t="inlineStr">
        <is>
          <t>Europe</t>
        </is>
      </c>
      <c r="AU115" s="55" t="inlineStr">
        <is>
          <t>Southern Europe</t>
        </is>
      </c>
      <c r="AV115" s="56" t="inlineStr">
        <is>
          <t>The company raised EUR 1.5 million of venture funding in a deal led by Kibo Ventures Partners and KFund on September 18, 2017. Carlos González Cadenas also participated in the round. The new funds will be used to internationalise its offering. It plans to expand across Europe and enter Latin America by 2018.</t>
        </is>
      </c>
      <c r="AW115" s="57" t="inlineStr">
        <is>
          <t>Carlos Gonzalez-Cadenas, KFund, Kibo Ventures Partners, The Center for the Development of Industrial Technology</t>
        </is>
      </c>
      <c r="AX115" s="58" t="n">
        <v>4.0</v>
      </c>
      <c r="AY115" s="59" t="inlineStr">
        <is>
          <t/>
        </is>
      </c>
      <c r="AZ115" s="60" t="inlineStr">
        <is>
          <t/>
        </is>
      </c>
      <c r="BA115" s="61" t="inlineStr">
        <is>
          <t/>
        </is>
      </c>
      <c r="BB115" s="62" t="inlineStr">
        <is>
          <t>KFund (www.kfund.co), Kibo Ventures Partners (www.kiboventures.com)</t>
        </is>
      </c>
      <c r="BC115" s="63" t="inlineStr">
        <is>
          <t/>
        </is>
      </c>
      <c r="BD115" s="64" t="inlineStr">
        <is>
          <t/>
        </is>
      </c>
      <c r="BE115" s="65" t="inlineStr">
        <is>
          <t/>
        </is>
      </c>
      <c r="BF115" s="66" t="inlineStr">
        <is>
          <t>Rousaud Costas Duran (Legal Advisor)</t>
        </is>
      </c>
      <c r="BG115" s="67" t="inlineStr">
        <is>
          <t/>
        </is>
      </c>
      <c r="BH115" s="68" t="n">
        <v>0.18</v>
      </c>
      <c r="BI115" s="69" t="inlineStr">
        <is>
          <t>Actual</t>
        </is>
      </c>
      <c r="BJ115" s="70" t="inlineStr">
        <is>
          <t/>
        </is>
      </c>
      <c r="BK115" s="71" t="inlineStr">
        <is>
          <t/>
        </is>
      </c>
      <c r="BL115" s="72" t="inlineStr">
        <is>
          <t>Grant</t>
        </is>
      </c>
      <c r="BM115" s="73" t="inlineStr">
        <is>
          <t/>
        </is>
      </c>
      <c r="BN115" s="74" t="inlineStr">
        <is>
          <t/>
        </is>
      </c>
      <c r="BO115" s="75" t="inlineStr">
        <is>
          <t>Other</t>
        </is>
      </c>
      <c r="BP115" s="76" t="inlineStr">
        <is>
          <t/>
        </is>
      </c>
      <c r="BQ115" s="77" t="inlineStr">
        <is>
          <t/>
        </is>
      </c>
      <c r="BR115" s="78" t="inlineStr">
        <is>
          <t/>
        </is>
      </c>
      <c r="BS115" s="79" t="inlineStr">
        <is>
          <t>Completed</t>
        </is>
      </c>
      <c r="BT115" s="80" t="n">
        <v>42996.0</v>
      </c>
      <c r="BU115" s="81" t="n">
        <v>1.5</v>
      </c>
      <c r="BV115" s="82" t="inlineStr">
        <is>
          <t>Actual</t>
        </is>
      </c>
      <c r="BW115" s="83" t="inlineStr">
        <is>
          <t/>
        </is>
      </c>
      <c r="BX115" s="84" t="inlineStr">
        <is>
          <t/>
        </is>
      </c>
      <c r="BY115" s="85" t="inlineStr">
        <is>
          <t>Early Stage VC</t>
        </is>
      </c>
      <c r="BZ115" s="86" t="inlineStr">
        <is>
          <t/>
        </is>
      </c>
      <c r="CA115" s="87" t="inlineStr">
        <is>
          <t/>
        </is>
      </c>
      <c r="CB115" s="88" t="inlineStr">
        <is>
          <t>Venture Capital</t>
        </is>
      </c>
      <c r="CC115" s="89" t="inlineStr">
        <is>
          <t/>
        </is>
      </c>
      <c r="CD115" s="90" t="inlineStr">
        <is>
          <t/>
        </is>
      </c>
      <c r="CE115" s="91" t="inlineStr">
        <is>
          <t/>
        </is>
      </c>
      <c r="CF115" s="92" t="inlineStr">
        <is>
          <t>Completed</t>
        </is>
      </c>
      <c r="CG115" s="93" t="inlineStr">
        <is>
          <t>-2,38%</t>
        </is>
      </c>
      <c r="CH115" s="94" t="inlineStr">
        <is>
          <t>8</t>
        </is>
      </c>
      <c r="CI115" s="95" t="inlineStr">
        <is>
          <t>0,04%</t>
        </is>
      </c>
      <c r="CJ115" s="96" t="inlineStr">
        <is>
          <t>1,85%</t>
        </is>
      </c>
      <c r="CK115" s="97" t="inlineStr">
        <is>
          <t>-5,16%</t>
        </is>
      </c>
      <c r="CL115" s="98" t="inlineStr">
        <is>
          <t>8</t>
        </is>
      </c>
      <c r="CM115" s="99" t="inlineStr">
        <is>
          <t>0,40%</t>
        </is>
      </c>
      <c r="CN115" s="100" t="inlineStr">
        <is>
          <t>85</t>
        </is>
      </c>
      <c r="CO115" s="101" t="inlineStr">
        <is>
          <t>-10,45%</t>
        </is>
      </c>
      <c r="CP115" s="102" t="inlineStr">
        <is>
          <t>12</t>
        </is>
      </c>
      <c r="CQ115" s="103" t="inlineStr">
        <is>
          <t>0,13%</t>
        </is>
      </c>
      <c r="CR115" s="104" t="inlineStr">
        <is>
          <t>90</t>
        </is>
      </c>
      <c r="CS115" s="105" t="inlineStr">
        <is>
          <t>0,28%</t>
        </is>
      </c>
      <c r="CT115" s="106" t="inlineStr">
        <is>
          <t>76</t>
        </is>
      </c>
      <c r="CU115" s="107" t="inlineStr">
        <is>
          <t>0,52%</t>
        </is>
      </c>
      <c r="CV115" s="108" t="inlineStr">
        <is>
          <t>91</t>
        </is>
      </c>
      <c r="CW115" s="109" t="inlineStr">
        <is>
          <t>4,81x</t>
        </is>
      </c>
      <c r="CX115" s="110" t="inlineStr">
        <is>
          <t>79</t>
        </is>
      </c>
      <c r="CY115" s="111" t="inlineStr">
        <is>
          <t>0,00x</t>
        </is>
      </c>
      <c r="CZ115" s="112" t="inlineStr">
        <is>
          <t>-0,08%</t>
        </is>
      </c>
      <c r="DA115" s="113" t="inlineStr">
        <is>
          <t>5,29x</t>
        </is>
      </c>
      <c r="DB115" s="114" t="inlineStr">
        <is>
          <t>82</t>
        </is>
      </c>
      <c r="DC115" s="115" t="inlineStr">
        <is>
          <t>4,34x</t>
        </is>
      </c>
      <c r="DD115" s="116" t="inlineStr">
        <is>
          <t>74</t>
        </is>
      </c>
      <c r="DE115" s="117" t="inlineStr">
        <is>
          <t>7,74x</t>
        </is>
      </c>
      <c r="DF115" s="118" t="inlineStr">
        <is>
          <t>85</t>
        </is>
      </c>
      <c r="DG115" s="119" t="inlineStr">
        <is>
          <t>2,83x</t>
        </is>
      </c>
      <c r="DH115" s="120" t="inlineStr">
        <is>
          <t>71</t>
        </is>
      </c>
      <c r="DI115" s="121" t="inlineStr">
        <is>
          <t>5,84x</t>
        </is>
      </c>
      <c r="DJ115" s="122" t="inlineStr">
        <is>
          <t>76</t>
        </is>
      </c>
      <c r="DK115" s="123" t="inlineStr">
        <is>
          <t>2,84x</t>
        </is>
      </c>
      <c r="DL115" s="124" t="inlineStr">
        <is>
          <t>70</t>
        </is>
      </c>
      <c r="DM115" s="125" t="inlineStr">
        <is>
          <t>2.964</t>
        </is>
      </c>
      <c r="DN115" s="126" t="inlineStr">
        <is>
          <t>-275</t>
        </is>
      </c>
      <c r="DO115" s="127" t="inlineStr">
        <is>
          <t>-8,49%</t>
        </is>
      </c>
      <c r="DP115" s="128" t="inlineStr">
        <is>
          <t>4.623</t>
        </is>
      </c>
      <c r="DQ115" s="129" t="inlineStr">
        <is>
          <t>15</t>
        </is>
      </c>
      <c r="DR115" s="130" t="inlineStr">
        <is>
          <t>0,33%</t>
        </is>
      </c>
      <c r="DS115" s="131" t="inlineStr">
        <is>
          <t>101</t>
        </is>
      </c>
      <c r="DT115" s="132" t="inlineStr">
        <is>
          <t>1</t>
        </is>
      </c>
      <c r="DU115" s="133" t="inlineStr">
        <is>
          <t>1,00%</t>
        </is>
      </c>
      <c r="DV115" s="134" t="inlineStr">
        <is>
          <t>1.059</t>
        </is>
      </c>
      <c r="DW115" s="135" t="inlineStr">
        <is>
          <t>11</t>
        </is>
      </c>
      <c r="DX115" s="136" t="inlineStr">
        <is>
          <t>1,05%</t>
        </is>
      </c>
      <c r="DY115" s="137" t="inlineStr">
        <is>
          <t>PitchBook Research</t>
        </is>
      </c>
      <c r="DZ115" s="785">
        <f>HYPERLINK("https://my.pitchbook.com?c=173768-68", "View company online")</f>
      </c>
    </row>
    <row r="116">
      <c r="A116" s="139" t="inlineStr">
        <is>
          <t>97870-24</t>
        </is>
      </c>
      <c r="B116" s="140" t="inlineStr">
        <is>
          <t>ADAY</t>
        </is>
      </c>
      <c r="C116" s="141" t="inlineStr">
        <is>
          <t/>
        </is>
      </c>
      <c r="D116" s="142" t="inlineStr">
        <is>
          <t/>
        </is>
      </c>
      <c r="E116" s="143" t="inlineStr">
        <is>
          <t>97870-24</t>
        </is>
      </c>
      <c r="F116" s="144" t="inlineStr">
        <is>
          <t>Operator of an e-commerce platform intended to offer technical clothing. The company's e-commerce platform offers for sale women's activewear that can go from work to workout, enabling women shop the very best items of clothing for wardrobes.</t>
        </is>
      </c>
      <c r="G116" s="145" t="inlineStr">
        <is>
          <t>Consumer Products and Services (B2C)</t>
        </is>
      </c>
      <c r="H116" s="146" t="inlineStr">
        <is>
          <t>Apparel and Accessories</t>
        </is>
      </c>
      <c r="I116" s="147" t="inlineStr">
        <is>
          <t>Clothing</t>
        </is>
      </c>
      <c r="J116" s="148" t="inlineStr">
        <is>
          <t>Clothing*; Internet Retail; Social/Platform Software</t>
        </is>
      </c>
      <c r="K116" s="149" t="inlineStr">
        <is>
          <t>E-Commerce</t>
        </is>
      </c>
      <c r="L116" s="150" t="inlineStr">
        <is>
          <t>Venture Capital-Backed</t>
        </is>
      </c>
      <c r="M116" s="151" t="n">
        <v>2.64</v>
      </c>
      <c r="N116" s="152" t="inlineStr">
        <is>
          <t>Generating Revenue</t>
        </is>
      </c>
      <c r="O116" s="153" t="inlineStr">
        <is>
          <t>Privately Held (backing)</t>
        </is>
      </c>
      <c r="P116" s="154" t="inlineStr">
        <is>
          <t>Venture Capital</t>
        </is>
      </c>
      <c r="Q116" s="155" t="inlineStr">
        <is>
          <t>www.thisisaday.com</t>
        </is>
      </c>
      <c r="R116" s="156" t="n">
        <v>4.0</v>
      </c>
      <c r="S116" s="157" t="inlineStr">
        <is>
          <t/>
        </is>
      </c>
      <c r="T116" s="158" t="inlineStr">
        <is>
          <t/>
        </is>
      </c>
      <c r="U116" s="159" t="n">
        <v>2014.0</v>
      </c>
      <c r="V116" s="160" t="inlineStr">
        <is>
          <t/>
        </is>
      </c>
      <c r="W116" s="161" t="inlineStr">
        <is>
          <t/>
        </is>
      </c>
      <c r="X116" s="162" t="inlineStr">
        <is>
          <r>
            <rPr>
              <b/>
              <color rgb="ff26854d"/>
              <rFont val="Arial"/>
              <sz val="8.0"/>
            </rPr>
            <t>News</t>
          </r>
          <r>
            <rPr>
              <color rgb="ff707070"/>
              <rFont val="Arial"/>
              <sz val="7.0"/>
            </rPr>
            <t xml:space="preserve"> NEW  </t>
          </r>
        </is>
      </c>
      <c r="Y116" s="163" t="inlineStr">
        <is>
          <t/>
        </is>
      </c>
      <c r="Z116" s="164" t="inlineStr">
        <is>
          <t/>
        </is>
      </c>
      <c r="AA116" s="165" t="inlineStr">
        <is>
          <t/>
        </is>
      </c>
      <c r="AB116" s="166" t="inlineStr">
        <is>
          <t/>
        </is>
      </c>
      <c r="AC116" s="167" t="inlineStr">
        <is>
          <t/>
        </is>
      </c>
      <c r="AD116" s="168" t="inlineStr">
        <is>
          <t/>
        </is>
      </c>
      <c r="AE116" s="169" t="inlineStr">
        <is>
          <t>80798-77P</t>
        </is>
      </c>
      <c r="AF116" s="170" t="inlineStr">
        <is>
          <t>Meg He</t>
        </is>
      </c>
      <c r="AG116" s="171" t="inlineStr">
        <is>
          <t>Co-Founder</t>
        </is>
      </c>
      <c r="AH116" s="172" t="inlineStr">
        <is>
          <t>meg@thisisaday.com</t>
        </is>
      </c>
      <c r="AI116" s="173" t="inlineStr">
        <is>
          <t/>
        </is>
      </c>
      <c r="AJ116" s="174" t="inlineStr">
        <is>
          <t>London, United Kingdom</t>
        </is>
      </c>
      <c r="AK116" s="175" t="inlineStr">
        <is>
          <t>Francis House</t>
        </is>
      </c>
      <c r="AL116" s="176" t="inlineStr">
        <is>
          <t>11 Francis Street</t>
        </is>
      </c>
      <c r="AM116" s="177" t="inlineStr">
        <is>
          <t>London</t>
        </is>
      </c>
      <c r="AN116" s="178" t="inlineStr">
        <is>
          <t>England</t>
        </is>
      </c>
      <c r="AO116" s="179" t="inlineStr">
        <is>
          <t>SW1P 1DE</t>
        </is>
      </c>
      <c r="AP116" s="180" t="inlineStr">
        <is>
          <t>United Kingdom</t>
        </is>
      </c>
      <c r="AQ116" s="181" t="inlineStr">
        <is>
          <t/>
        </is>
      </c>
      <c r="AR116" s="182" t="inlineStr">
        <is>
          <t/>
        </is>
      </c>
      <c r="AS116" s="183" t="inlineStr">
        <is>
          <t>hello@thisisaday.com</t>
        </is>
      </c>
      <c r="AT116" s="184" t="inlineStr">
        <is>
          <t>Europe</t>
        </is>
      </c>
      <c r="AU116" s="185" t="inlineStr">
        <is>
          <t>Western Europe</t>
        </is>
      </c>
      <c r="AV116" s="186" t="inlineStr">
        <is>
          <t>The company raised $2 million of venture funding from H&amp;M CO:LAB, ADG and SoGal Ventures on November 22, 2017. The company intends to use the capital to expand its direct-to-consumer strategy plans and open a permanent store in 2018. With the round, the company has now raised a total of $3.1 million in funding to date. Previously, the company raised over $1.1 million of seed funding from Cowboy Ventures, Venrex Investment Management and Truestart. Other undisclosed angel investors also participated in the round.</t>
        </is>
      </c>
      <c r="AW116" s="187" t="inlineStr">
        <is>
          <t>ADG Holdings, Cowboy Ventures, H&amp;M CO:LAB, SoGal Ventures, TrueStart, Venrex Investment Management</t>
        </is>
      </c>
      <c r="AX116" s="188" t="n">
        <v>6.0</v>
      </c>
      <c r="AY116" s="189" t="inlineStr">
        <is>
          <t/>
        </is>
      </c>
      <c r="AZ116" s="190" t="inlineStr">
        <is>
          <t/>
        </is>
      </c>
      <c r="BA116" s="191" t="inlineStr">
        <is>
          <t/>
        </is>
      </c>
      <c r="BB116" s="192" t="inlineStr">
        <is>
          <t>ADG Holdings (www.adgcorporate.com), Cowboy Ventures (www.cowboy.vc), SoGal Ventures (www.sogalventures.com), TrueStart (www.truestart.co.uk)</t>
        </is>
      </c>
      <c r="BC116" s="193" t="inlineStr">
        <is>
          <t/>
        </is>
      </c>
      <c r="BD116" s="194" t="inlineStr">
        <is>
          <t/>
        </is>
      </c>
      <c r="BE116" s="195" t="inlineStr">
        <is>
          <t/>
        </is>
      </c>
      <c r="BF116" s="196" t="inlineStr">
        <is>
          <t/>
        </is>
      </c>
      <c r="BG116" s="197" t="inlineStr">
        <is>
          <t/>
        </is>
      </c>
      <c r="BH116" s="198" t="n">
        <v>0.94</v>
      </c>
      <c r="BI116" s="199" t="inlineStr">
        <is>
          <t>Estimated</t>
        </is>
      </c>
      <c r="BJ116" s="200" t="inlineStr">
        <is>
          <t/>
        </is>
      </c>
      <c r="BK116" s="201" t="inlineStr">
        <is>
          <t/>
        </is>
      </c>
      <c r="BL116" s="202" t="inlineStr">
        <is>
          <t>Seed Round</t>
        </is>
      </c>
      <c r="BM116" s="203" t="inlineStr">
        <is>
          <t>Seed</t>
        </is>
      </c>
      <c r="BN116" s="204" t="inlineStr">
        <is>
          <t/>
        </is>
      </c>
      <c r="BO116" s="205" t="inlineStr">
        <is>
          <t>Venture Capital</t>
        </is>
      </c>
      <c r="BP116" s="206" t="inlineStr">
        <is>
          <t/>
        </is>
      </c>
      <c r="BQ116" s="207" t="inlineStr">
        <is>
          <t/>
        </is>
      </c>
      <c r="BR116" s="208" t="inlineStr">
        <is>
          <t/>
        </is>
      </c>
      <c r="BS116" s="209" t="inlineStr">
        <is>
          <t>Completed</t>
        </is>
      </c>
      <c r="BT116" s="210" t="n">
        <v>43061.0</v>
      </c>
      <c r="BU116" s="211" t="n">
        <v>1.7</v>
      </c>
      <c r="BV116" s="212" t="inlineStr">
        <is>
          <t>Actual</t>
        </is>
      </c>
      <c r="BW116" s="213" t="inlineStr">
        <is>
          <t/>
        </is>
      </c>
      <c r="BX116" s="214" t="inlineStr">
        <is>
          <t/>
        </is>
      </c>
      <c r="BY116" s="215" t="inlineStr">
        <is>
          <t>Early Stage VC</t>
        </is>
      </c>
      <c r="BZ116" s="216" t="inlineStr">
        <is>
          <t/>
        </is>
      </c>
      <c r="CA116" s="217" t="inlineStr">
        <is>
          <t/>
        </is>
      </c>
      <c r="CB116" s="218" t="inlineStr">
        <is>
          <t>Venture Capital</t>
        </is>
      </c>
      <c r="CC116" s="219" t="inlineStr">
        <is>
          <t/>
        </is>
      </c>
      <c r="CD116" s="220" t="inlineStr">
        <is>
          <t/>
        </is>
      </c>
      <c r="CE116" s="221" t="inlineStr">
        <is>
          <t/>
        </is>
      </c>
      <c r="CF116" s="222" t="inlineStr">
        <is>
          <t>Completed</t>
        </is>
      </c>
      <c r="CG116" s="223" t="inlineStr">
        <is>
          <t>-1,19%</t>
        </is>
      </c>
      <c r="CH116" s="224" t="inlineStr">
        <is>
          <t>13</t>
        </is>
      </c>
      <c r="CI116" s="225" t="inlineStr">
        <is>
          <t>0,07%</t>
        </is>
      </c>
      <c r="CJ116" s="226" t="inlineStr">
        <is>
          <t>5,43%</t>
        </is>
      </c>
      <c r="CK116" s="227" t="inlineStr">
        <is>
          <t>-2,60%</t>
        </is>
      </c>
      <c r="CL116" s="228" t="inlineStr">
        <is>
          <t>13</t>
        </is>
      </c>
      <c r="CM116" s="229" t="inlineStr">
        <is>
          <t>0,22%</t>
        </is>
      </c>
      <c r="CN116" s="230" t="inlineStr">
        <is>
          <t>73</t>
        </is>
      </c>
      <c r="CO116" s="231" t="inlineStr">
        <is>
          <t>-5,87%</t>
        </is>
      </c>
      <c r="CP116" s="232" t="inlineStr">
        <is>
          <t>19</t>
        </is>
      </c>
      <c r="CQ116" s="233" t="inlineStr">
        <is>
          <t>0,66%</t>
        </is>
      </c>
      <c r="CR116" s="234" t="inlineStr">
        <is>
          <t>92</t>
        </is>
      </c>
      <c r="CS116" s="235" t="inlineStr">
        <is>
          <t>0,40%</t>
        </is>
      </c>
      <c r="CT116" s="236" t="inlineStr">
        <is>
          <t>83</t>
        </is>
      </c>
      <c r="CU116" s="237" t="inlineStr">
        <is>
          <t>0,04%</t>
        </is>
      </c>
      <c r="CV116" s="238" t="inlineStr">
        <is>
          <t>58</t>
        </is>
      </c>
      <c r="CW116" s="239" t="inlineStr">
        <is>
          <t>16,27x</t>
        </is>
      </c>
      <c r="CX116" s="240" t="inlineStr">
        <is>
          <t>92</t>
        </is>
      </c>
      <c r="CY116" s="241" t="inlineStr">
        <is>
          <t>-0,02x</t>
        </is>
      </c>
      <c r="CZ116" s="242" t="inlineStr">
        <is>
          <t>-0,12%</t>
        </is>
      </c>
      <c r="DA116" s="243" t="inlineStr">
        <is>
          <t>15,95x</t>
        </is>
      </c>
      <c r="DB116" s="244" t="inlineStr">
        <is>
          <t>93</t>
        </is>
      </c>
      <c r="DC116" s="245" t="inlineStr">
        <is>
          <t>16,60x</t>
        </is>
      </c>
      <c r="DD116" s="246" t="inlineStr">
        <is>
          <t>88</t>
        </is>
      </c>
      <c r="DE116" s="247" t="inlineStr">
        <is>
          <t>22,06x</t>
        </is>
      </c>
      <c r="DF116" s="248" t="inlineStr">
        <is>
          <t>93</t>
        </is>
      </c>
      <c r="DG116" s="249" t="inlineStr">
        <is>
          <t>9,83x</t>
        </is>
      </c>
      <c r="DH116" s="250" t="inlineStr">
        <is>
          <t>87</t>
        </is>
      </c>
      <c r="DI116" s="251" t="inlineStr">
        <is>
          <t>23,97x</t>
        </is>
      </c>
      <c r="DJ116" s="252" t="inlineStr">
        <is>
          <t>88</t>
        </is>
      </c>
      <c r="DK116" s="253" t="inlineStr">
        <is>
          <t>9,23x</t>
        </is>
      </c>
      <c r="DL116" s="254" t="inlineStr">
        <is>
          <t>86</t>
        </is>
      </c>
      <c r="DM116" s="255" t="inlineStr">
        <is>
          <t>8.133</t>
        </is>
      </c>
      <c r="DN116" s="256" t="inlineStr">
        <is>
          <t>265</t>
        </is>
      </c>
      <c r="DO116" s="257" t="inlineStr">
        <is>
          <t>3,37%</t>
        </is>
      </c>
      <c r="DP116" s="258" t="inlineStr">
        <is>
          <t>18.928</t>
        </is>
      </c>
      <c r="DQ116" s="259" t="inlineStr">
        <is>
          <t>36</t>
        </is>
      </c>
      <c r="DR116" s="260" t="inlineStr">
        <is>
          <t>0,19%</t>
        </is>
      </c>
      <c r="DS116" s="261" t="inlineStr">
        <is>
          <t>352</t>
        </is>
      </c>
      <c r="DT116" s="262" t="inlineStr">
        <is>
          <t>3</t>
        </is>
      </c>
      <c r="DU116" s="263" t="inlineStr">
        <is>
          <t>0,86%</t>
        </is>
      </c>
      <c r="DV116" s="264" t="inlineStr">
        <is>
          <t>3.445</t>
        </is>
      </c>
      <c r="DW116" s="265" t="inlineStr">
        <is>
          <t>3</t>
        </is>
      </c>
      <c r="DX116" s="266" t="inlineStr">
        <is>
          <t>0,09%</t>
        </is>
      </c>
      <c r="DY116" s="267" t="inlineStr">
        <is>
          <t>PitchBook Research</t>
        </is>
      </c>
      <c r="DZ116" s="786">
        <f>HYPERLINK("https://my.pitchbook.com?c=97870-24", "View company online")</f>
      </c>
    </row>
    <row r="117">
      <c r="A117" s="9" t="inlineStr">
        <is>
          <t>161991-64</t>
        </is>
      </c>
      <c r="B117" s="10" t="inlineStr">
        <is>
          <t>Fast Travel Games</t>
        </is>
      </c>
      <c r="C117" s="11" t="inlineStr">
        <is>
          <t/>
        </is>
      </c>
      <c r="D117" s="12" t="inlineStr">
        <is>
          <t/>
        </is>
      </c>
      <c r="E117" s="13" t="inlineStr">
        <is>
          <t>161991-64</t>
        </is>
      </c>
      <c r="F117" s="14" t="inlineStr">
        <is>
          <t>Operator of a game development studio intended to build VR games. The company's game development studio focuses on building virtual reality games which offer gameplay experiences rich in social and storytelling components.</t>
        </is>
      </c>
      <c r="G117" s="15" t="inlineStr">
        <is>
          <t>Information Technology</t>
        </is>
      </c>
      <c r="H117" s="16" t="inlineStr">
        <is>
          <t>Software</t>
        </is>
      </c>
      <c r="I117" s="17" t="inlineStr">
        <is>
          <t>Entertainment Software</t>
        </is>
      </c>
      <c r="J117" s="18" t="inlineStr">
        <is>
          <t>Entertainment Software*</t>
        </is>
      </c>
      <c r="K117" s="19" t="inlineStr">
        <is>
          <t>Virtual Reality</t>
        </is>
      </c>
      <c r="L117" s="20" t="inlineStr">
        <is>
          <t>Venture Capital-Backed</t>
        </is>
      </c>
      <c r="M117" s="21" t="n">
        <v>2.65</v>
      </c>
      <c r="N117" s="22" t="inlineStr">
        <is>
          <t>Startup</t>
        </is>
      </c>
      <c r="O117" s="23" t="inlineStr">
        <is>
          <t>Privately Held (backing)</t>
        </is>
      </c>
      <c r="P117" s="24" t="inlineStr">
        <is>
          <t>Venture Capital</t>
        </is>
      </c>
      <c r="Q117" s="25" t="inlineStr">
        <is>
          <t>www.fasttravelgames.com</t>
        </is>
      </c>
      <c r="R117" s="26" t="n">
        <v>4.0</v>
      </c>
      <c r="S117" s="27" t="inlineStr">
        <is>
          <t/>
        </is>
      </c>
      <c r="T117" s="28" t="inlineStr">
        <is>
          <t/>
        </is>
      </c>
      <c r="U117" s="29" t="n">
        <v>2016.0</v>
      </c>
      <c r="V117" s="30" t="inlineStr">
        <is>
          <t/>
        </is>
      </c>
      <c r="W117" s="31" t="inlineStr">
        <is>
          <t/>
        </is>
      </c>
      <c r="X117" s="32" t="inlineStr">
        <is>
          <t/>
        </is>
      </c>
      <c r="Y117" s="33" t="inlineStr">
        <is>
          <t/>
        </is>
      </c>
      <c r="Z117" s="34" t="inlineStr">
        <is>
          <t/>
        </is>
      </c>
      <c r="AA117" s="35" t="inlineStr">
        <is>
          <t/>
        </is>
      </c>
      <c r="AB117" s="36" t="inlineStr">
        <is>
          <t/>
        </is>
      </c>
      <c r="AC117" s="37" t="inlineStr">
        <is>
          <t/>
        </is>
      </c>
      <c r="AD117" s="38" t="inlineStr">
        <is>
          <t/>
        </is>
      </c>
      <c r="AE117" s="39" t="inlineStr">
        <is>
          <t>74046-52P</t>
        </is>
      </c>
      <c r="AF117" s="40" t="inlineStr">
        <is>
          <t>Oskar Burman</t>
        </is>
      </c>
      <c r="AG117" s="41" t="inlineStr">
        <is>
          <t>Co-Founder, Chairman &amp; Chief Executive Officer</t>
        </is>
      </c>
      <c r="AH117" s="42" t="inlineStr">
        <is>
          <t>oskar@fasttravelgames.com</t>
        </is>
      </c>
      <c r="AI117" s="43" t="inlineStr">
        <is>
          <t/>
        </is>
      </c>
      <c r="AJ117" s="44" t="inlineStr">
        <is>
          <t>Stockholm, Sweden</t>
        </is>
      </c>
      <c r="AK117" s="45" t="inlineStr">
        <is>
          <t>Södra Dryckesgränd 1</t>
        </is>
      </c>
      <c r="AL117" s="46" t="inlineStr">
        <is>
          <t/>
        </is>
      </c>
      <c r="AM117" s="47" t="inlineStr">
        <is>
          <t>Stockholm</t>
        </is>
      </c>
      <c r="AN117" s="48" t="inlineStr">
        <is>
          <t/>
        </is>
      </c>
      <c r="AO117" s="49" t="inlineStr">
        <is>
          <t>111 30</t>
        </is>
      </c>
      <c r="AP117" s="50" t="inlineStr">
        <is>
          <t>Sweden</t>
        </is>
      </c>
      <c r="AQ117" s="51" t="inlineStr">
        <is>
          <t/>
        </is>
      </c>
      <c r="AR117" s="52" t="inlineStr">
        <is>
          <t/>
        </is>
      </c>
      <c r="AS117" s="53" t="inlineStr">
        <is>
          <t>info@fasttravelgames.com</t>
        </is>
      </c>
      <c r="AT117" s="54" t="inlineStr">
        <is>
          <t>Europe</t>
        </is>
      </c>
      <c r="AU117" s="55" t="inlineStr">
        <is>
          <t>Northern Europe</t>
        </is>
      </c>
      <c r="AV117" s="56" t="inlineStr">
        <is>
          <t>The company raised $2.1 million of Series A venture funding in a round led by Industrifonden on September 5, 2017. Creades, Inbox Capital and Sunstone Capital also participated in this round. This brings the company's total funding to $2.9 million and it intends to use it to launch its first game - an action adventure VR title and expand the size of its team.</t>
        </is>
      </c>
      <c r="AW117" s="57" t="inlineStr">
        <is>
          <t>Creades, Inbox Capital, Industrifonden, Mattias Miksche, Sunstone Capital</t>
        </is>
      </c>
      <c r="AX117" s="58" t="n">
        <v>5.0</v>
      </c>
      <c r="AY117" s="59" t="inlineStr">
        <is>
          <t/>
        </is>
      </c>
      <c r="AZ117" s="60" t="inlineStr">
        <is>
          <t/>
        </is>
      </c>
      <c r="BA117" s="61" t="inlineStr">
        <is>
          <t/>
        </is>
      </c>
      <c r="BB117" s="62" t="inlineStr">
        <is>
          <t>Creades (www.creades.se), Industrifonden (www.industrifonden.com), Sunstone Capital (www.sunstone.eu)</t>
        </is>
      </c>
      <c r="BC117" s="63" t="inlineStr">
        <is>
          <t/>
        </is>
      </c>
      <c r="BD117" s="64" t="inlineStr">
        <is>
          <t/>
        </is>
      </c>
      <c r="BE117" s="65" t="inlineStr">
        <is>
          <t/>
        </is>
      </c>
      <c r="BF117" s="66" t="inlineStr">
        <is>
          <t/>
        </is>
      </c>
      <c r="BG117" s="67" t="n">
        <v>42550.0</v>
      </c>
      <c r="BH117" s="68" t="n">
        <v>0.89</v>
      </c>
      <c r="BI117" s="69" t="inlineStr">
        <is>
          <t>Actual</t>
        </is>
      </c>
      <c r="BJ117" s="70" t="inlineStr">
        <is>
          <t/>
        </is>
      </c>
      <c r="BK117" s="71" t="inlineStr">
        <is>
          <t/>
        </is>
      </c>
      <c r="BL117" s="72" t="inlineStr">
        <is>
          <t>Seed Round</t>
        </is>
      </c>
      <c r="BM117" s="73" t="inlineStr">
        <is>
          <t>Seed</t>
        </is>
      </c>
      <c r="BN117" s="74" t="inlineStr">
        <is>
          <t/>
        </is>
      </c>
      <c r="BO117" s="75" t="inlineStr">
        <is>
          <t>Venture Capital</t>
        </is>
      </c>
      <c r="BP117" s="76" t="inlineStr">
        <is>
          <t/>
        </is>
      </c>
      <c r="BQ117" s="77" t="inlineStr">
        <is>
          <t/>
        </is>
      </c>
      <c r="BR117" s="78" t="inlineStr">
        <is>
          <t/>
        </is>
      </c>
      <c r="BS117" s="79" t="inlineStr">
        <is>
          <t>Completed</t>
        </is>
      </c>
      <c r="BT117" s="80" t="n">
        <v>42983.0</v>
      </c>
      <c r="BU117" s="81" t="n">
        <v>1.76</v>
      </c>
      <c r="BV117" s="82" t="inlineStr">
        <is>
          <t>Actual</t>
        </is>
      </c>
      <c r="BW117" s="83" t="inlineStr">
        <is>
          <t/>
        </is>
      </c>
      <c r="BX117" s="84" t="inlineStr">
        <is>
          <t/>
        </is>
      </c>
      <c r="BY117" s="85" t="inlineStr">
        <is>
          <t>Early Stage VC</t>
        </is>
      </c>
      <c r="BZ117" s="86" t="inlineStr">
        <is>
          <t>Series A</t>
        </is>
      </c>
      <c r="CA117" s="87" t="inlineStr">
        <is>
          <t/>
        </is>
      </c>
      <c r="CB117" s="88" t="inlineStr">
        <is>
          <t>Venture Capital</t>
        </is>
      </c>
      <c r="CC117" s="89" t="inlineStr">
        <is>
          <t/>
        </is>
      </c>
      <c r="CD117" s="90" t="inlineStr">
        <is>
          <t/>
        </is>
      </c>
      <c r="CE117" s="91" t="inlineStr">
        <is>
          <t/>
        </is>
      </c>
      <c r="CF117" s="92" t="inlineStr">
        <is>
          <t>Completed</t>
        </is>
      </c>
      <c r="CG117" s="93" t="inlineStr">
        <is>
          <t>0,36%</t>
        </is>
      </c>
      <c r="CH117" s="94" t="inlineStr">
        <is>
          <t>90</t>
        </is>
      </c>
      <c r="CI117" s="95" t="inlineStr">
        <is>
          <t>0,00%</t>
        </is>
      </c>
      <c r="CJ117" s="96" t="inlineStr">
        <is>
          <t>-0,92%</t>
        </is>
      </c>
      <c r="CK117" s="97" t="inlineStr">
        <is>
          <t>0,00%</t>
        </is>
      </c>
      <c r="CL117" s="98" t="inlineStr">
        <is>
          <t>28</t>
        </is>
      </c>
      <c r="CM117" s="99" t="inlineStr">
        <is>
          <t>0,72%</t>
        </is>
      </c>
      <c r="CN117" s="100" t="inlineStr">
        <is>
          <t>93</t>
        </is>
      </c>
      <c r="CO117" s="101" t="inlineStr">
        <is>
          <t>0,00%</t>
        </is>
      </c>
      <c r="CP117" s="102" t="inlineStr">
        <is>
          <t>37</t>
        </is>
      </c>
      <c r="CQ117" s="103" t="inlineStr">
        <is>
          <t/>
        </is>
      </c>
      <c r="CR117" s="104" t="inlineStr">
        <is>
          <t/>
        </is>
      </c>
      <c r="CS117" s="105" t="inlineStr">
        <is>
          <t>0,35%</t>
        </is>
      </c>
      <c r="CT117" s="106" t="inlineStr">
        <is>
          <t>81</t>
        </is>
      </c>
      <c r="CU117" s="107" t="inlineStr">
        <is>
          <t>1,08%</t>
        </is>
      </c>
      <c r="CV117" s="108" t="inlineStr">
        <is>
          <t>97</t>
        </is>
      </c>
      <c r="CW117" s="109" t="inlineStr">
        <is>
          <t>0,52x</t>
        </is>
      </c>
      <c r="CX117" s="110" t="inlineStr">
        <is>
          <t>34</t>
        </is>
      </c>
      <c r="CY117" s="111" t="inlineStr">
        <is>
          <t>0,00x</t>
        </is>
      </c>
      <c r="CZ117" s="112" t="inlineStr">
        <is>
          <t>0,29%</t>
        </is>
      </c>
      <c r="DA117" s="113" t="inlineStr">
        <is>
          <t>0,20x</t>
        </is>
      </c>
      <c r="DB117" s="114" t="inlineStr">
        <is>
          <t>18</t>
        </is>
      </c>
      <c r="DC117" s="115" t="inlineStr">
        <is>
          <t>0,83x</t>
        </is>
      </c>
      <c r="DD117" s="116" t="inlineStr">
        <is>
          <t>45</t>
        </is>
      </c>
      <c r="DE117" s="117" t="inlineStr">
        <is>
          <t>0,20x</t>
        </is>
      </c>
      <c r="DF117" s="118" t="inlineStr">
        <is>
          <t>13</t>
        </is>
      </c>
      <c r="DG117" s="119" t="inlineStr">
        <is>
          <t/>
        </is>
      </c>
      <c r="DH117" s="120" t="inlineStr">
        <is>
          <t/>
        </is>
      </c>
      <c r="DI117" s="121" t="inlineStr">
        <is>
          <t>0,51x</t>
        </is>
      </c>
      <c r="DJ117" s="122" t="inlineStr">
        <is>
          <t>39</t>
        </is>
      </c>
      <c r="DK117" s="123" t="inlineStr">
        <is>
          <t>1,15x</t>
        </is>
      </c>
      <c r="DL117" s="124" t="inlineStr">
        <is>
          <t>53</t>
        </is>
      </c>
      <c r="DM117" s="125" t="inlineStr">
        <is>
          <t>137</t>
        </is>
      </c>
      <c r="DN117" s="126" t="inlineStr">
        <is>
          <t>-148</t>
        </is>
      </c>
      <c r="DO117" s="127" t="inlineStr">
        <is>
          <t>-51,93%</t>
        </is>
      </c>
      <c r="DP117" s="128" t="inlineStr">
        <is>
          <t>399</t>
        </is>
      </c>
      <c r="DQ117" s="129" t="inlineStr">
        <is>
          <t>3</t>
        </is>
      </c>
      <c r="DR117" s="130" t="inlineStr">
        <is>
          <t>0,76%</t>
        </is>
      </c>
      <c r="DS117" s="131" t="inlineStr">
        <is>
          <t/>
        </is>
      </c>
      <c r="DT117" s="132" t="inlineStr">
        <is>
          <t/>
        </is>
      </c>
      <c r="DU117" s="133" t="inlineStr">
        <is>
          <t/>
        </is>
      </c>
      <c r="DV117" s="134" t="inlineStr">
        <is>
          <t>427</t>
        </is>
      </c>
      <c r="DW117" s="135" t="inlineStr">
        <is>
          <t>4</t>
        </is>
      </c>
      <c r="DX117" s="136" t="inlineStr">
        <is>
          <t>0,95%</t>
        </is>
      </c>
      <c r="DY117" s="137" t="inlineStr">
        <is>
          <t>PitchBook Research</t>
        </is>
      </c>
      <c r="DZ117" s="785">
        <f>HYPERLINK("https://my.pitchbook.com?c=161991-64", "View company online")</f>
      </c>
    </row>
    <row r="118">
      <c r="A118" s="139" t="inlineStr">
        <is>
          <t>183241-63</t>
        </is>
      </c>
      <c r="B118" s="140" t="inlineStr">
        <is>
          <t>Fluidly</t>
        </is>
      </c>
      <c r="C118" s="141" t="inlineStr">
        <is>
          <t/>
        </is>
      </c>
      <c r="D118" s="142" t="inlineStr">
        <is>
          <t/>
        </is>
      </c>
      <c r="E118" s="143" t="inlineStr">
        <is>
          <t>183241-63</t>
        </is>
      </c>
      <c r="F118" s="144" t="inlineStr">
        <is>
          <t>Developer of a SaaS-based money management platform designed to improve business cash-flow. The company's money management platform specializes in finding customers, managing people and controlling credit, enabling small and medium enterprises to plan and manage their cash-flow and improve their businesses.</t>
        </is>
      </c>
      <c r="G118" s="145" t="inlineStr">
        <is>
          <t>Information Technology</t>
        </is>
      </c>
      <c r="H118" s="146" t="inlineStr">
        <is>
          <t>Software</t>
        </is>
      </c>
      <c r="I118" s="147" t="inlineStr">
        <is>
          <t>Financial Software</t>
        </is>
      </c>
      <c r="J118" s="148" t="inlineStr">
        <is>
          <t>Financial Software*; Application Software; Business/Productivity Software</t>
        </is>
      </c>
      <c r="K118" s="149" t="inlineStr">
        <is>
          <t>FinTech, SaaS</t>
        </is>
      </c>
      <c r="L118" s="150" t="inlineStr">
        <is>
          <t>Venture Capital-Backed</t>
        </is>
      </c>
      <c r="M118" s="151" t="n">
        <v>2.67</v>
      </c>
      <c r="N118" s="152" t="inlineStr">
        <is>
          <t>Generating Revenue</t>
        </is>
      </c>
      <c r="O118" s="153" t="inlineStr">
        <is>
          <t>Privately Held (backing)</t>
        </is>
      </c>
      <c r="P118" s="154" t="inlineStr">
        <is>
          <t>Venture Capital</t>
        </is>
      </c>
      <c r="Q118" s="155" t="inlineStr">
        <is>
          <t>www.fluidly.com</t>
        </is>
      </c>
      <c r="R118" s="156" t="n">
        <v>2.0</v>
      </c>
      <c r="S118" s="157" t="inlineStr">
        <is>
          <t/>
        </is>
      </c>
      <c r="T118" s="158" t="inlineStr">
        <is>
          <t/>
        </is>
      </c>
      <c r="U118" s="159" t="n">
        <v>2016.0</v>
      </c>
      <c r="V118" s="160" t="inlineStr">
        <is>
          <t/>
        </is>
      </c>
      <c r="W118" s="161" t="inlineStr">
        <is>
          <t/>
        </is>
      </c>
      <c r="X118" s="162" t="inlineStr">
        <is>
          <t/>
        </is>
      </c>
      <c r="Y118" s="163" t="inlineStr">
        <is>
          <t/>
        </is>
      </c>
      <c r="Z118" s="164" t="inlineStr">
        <is>
          <t/>
        </is>
      </c>
      <c r="AA118" s="165" t="inlineStr">
        <is>
          <t/>
        </is>
      </c>
      <c r="AB118" s="166" t="inlineStr">
        <is>
          <t/>
        </is>
      </c>
      <c r="AC118" s="167" t="inlineStr">
        <is>
          <t/>
        </is>
      </c>
      <c r="AD118" s="168" t="inlineStr">
        <is>
          <t/>
        </is>
      </c>
      <c r="AE118" s="169" t="inlineStr">
        <is>
          <t>166965-40P</t>
        </is>
      </c>
      <c r="AF118" s="170" t="inlineStr">
        <is>
          <t>Caroline Plumb OBE</t>
        </is>
      </c>
      <c r="AG118" s="171" t="inlineStr">
        <is>
          <t>Co-Founder &amp; Chief Executive Officer</t>
        </is>
      </c>
      <c r="AH118" s="172" t="inlineStr">
        <is>
          <t>caroline@fluid.ly</t>
        </is>
      </c>
      <c r="AI118" s="173" t="inlineStr">
        <is>
          <t>+44 (0)20 7611 1001</t>
        </is>
      </c>
      <c r="AJ118" s="174" t="inlineStr">
        <is>
          <t>London, United Kingdom</t>
        </is>
      </c>
      <c r="AK118" s="175" t="inlineStr">
        <is>
          <t>Kingsbourne House</t>
        </is>
      </c>
      <c r="AL118" s="176" t="inlineStr">
        <is>
          <t>229-231 High Holborn</t>
        </is>
      </c>
      <c r="AM118" s="177" t="inlineStr">
        <is>
          <t>London</t>
        </is>
      </c>
      <c r="AN118" s="178" t="inlineStr">
        <is>
          <t>England</t>
        </is>
      </c>
      <c r="AO118" s="179" t="inlineStr">
        <is>
          <t>WC1V 7DA</t>
        </is>
      </c>
      <c r="AP118" s="180" t="inlineStr">
        <is>
          <t>United Kingdom</t>
        </is>
      </c>
      <c r="AQ118" s="181" t="inlineStr">
        <is>
          <t>+44 (0)20 7611 1001</t>
        </is>
      </c>
      <c r="AR118" s="182" t="inlineStr">
        <is>
          <t/>
        </is>
      </c>
      <c r="AS118" s="183" t="inlineStr">
        <is>
          <t>hello@fluid.ly</t>
        </is>
      </c>
      <c r="AT118" s="184" t="inlineStr">
        <is>
          <t>Europe</t>
        </is>
      </c>
      <c r="AU118" s="185" t="inlineStr">
        <is>
          <t>Western Europe</t>
        </is>
      </c>
      <c r="AV118" s="186" t="inlineStr">
        <is>
          <t>The company raised GBP 2 million of seed funding in a round led by Octopus Ventures on September 28, 2017. Anthemis Group, Hank Vigil and Nyca Partners also participated in this round. It will use the investment to expand its team of engineers and data scientists working to advance the product which has been in private alpha, and also to build sales and marketing capacity.</t>
        </is>
      </c>
      <c r="AW118" s="187" t="inlineStr">
        <is>
          <t>Anthemis Group, Hank Vigil, Nesta, Nyca Partners, Octopus Ventures</t>
        </is>
      </c>
      <c r="AX118" s="188" t="n">
        <v>5.0</v>
      </c>
      <c r="AY118" s="189" t="inlineStr">
        <is>
          <t/>
        </is>
      </c>
      <c r="AZ118" s="190" t="inlineStr">
        <is>
          <t/>
        </is>
      </c>
      <c r="BA118" s="191" t="inlineStr">
        <is>
          <t/>
        </is>
      </c>
      <c r="BB118" s="192" t="inlineStr">
        <is>
          <t>Anthemis Group (www.anthemis.com), Nesta (www.nesta.org.uk), Nyca Partners (www.nyca.com), Octopus Ventures (www.octopusventures.com)</t>
        </is>
      </c>
      <c r="BC118" s="193" t="inlineStr">
        <is>
          <t/>
        </is>
      </c>
      <c r="BD118" s="194" t="inlineStr">
        <is>
          <t/>
        </is>
      </c>
      <c r="BE118" s="195" t="inlineStr">
        <is>
          <t/>
        </is>
      </c>
      <c r="BF118" s="196" t="inlineStr">
        <is>
          <t>AllBright (Lead Manager or Arranger)</t>
        </is>
      </c>
      <c r="BG118" s="197" t="n">
        <v>42780.0</v>
      </c>
      <c r="BH118" s="198" t="n">
        <v>0.44</v>
      </c>
      <c r="BI118" s="199" t="inlineStr">
        <is>
          <t>Actual</t>
        </is>
      </c>
      <c r="BJ118" s="200" t="n">
        <v>1.98</v>
      </c>
      <c r="BK118" s="201" t="inlineStr">
        <is>
          <t>Actual</t>
        </is>
      </c>
      <c r="BL118" s="202" t="inlineStr">
        <is>
          <t>Seed Round</t>
        </is>
      </c>
      <c r="BM118" s="203" t="inlineStr">
        <is>
          <t>Seed</t>
        </is>
      </c>
      <c r="BN118" s="204" t="inlineStr">
        <is>
          <t/>
        </is>
      </c>
      <c r="BO118" s="205" t="inlineStr">
        <is>
          <t>Venture Capital</t>
        </is>
      </c>
      <c r="BP118" s="206" t="inlineStr">
        <is>
          <t/>
        </is>
      </c>
      <c r="BQ118" s="207" t="inlineStr">
        <is>
          <t/>
        </is>
      </c>
      <c r="BR118" s="208" t="inlineStr">
        <is>
          <t/>
        </is>
      </c>
      <c r="BS118" s="209" t="inlineStr">
        <is>
          <t>Completed</t>
        </is>
      </c>
      <c r="BT118" s="210" t="n">
        <v>43006.0</v>
      </c>
      <c r="BU118" s="211" t="n">
        <v>2.23</v>
      </c>
      <c r="BV118" s="212" t="inlineStr">
        <is>
          <t>Actual</t>
        </is>
      </c>
      <c r="BW118" s="213" t="inlineStr">
        <is>
          <t/>
        </is>
      </c>
      <c r="BX118" s="214" t="inlineStr">
        <is>
          <t/>
        </is>
      </c>
      <c r="BY118" s="215" t="inlineStr">
        <is>
          <t>Seed Round</t>
        </is>
      </c>
      <c r="BZ118" s="216" t="inlineStr">
        <is>
          <t>Seed</t>
        </is>
      </c>
      <c r="CA118" s="217" t="inlineStr">
        <is>
          <t/>
        </is>
      </c>
      <c r="CB118" s="218" t="inlineStr">
        <is>
          <t>Venture Capital</t>
        </is>
      </c>
      <c r="CC118" s="219" t="inlineStr">
        <is>
          <t/>
        </is>
      </c>
      <c r="CD118" s="220" t="inlineStr">
        <is>
          <t/>
        </is>
      </c>
      <c r="CE118" s="221" t="inlineStr">
        <is>
          <t/>
        </is>
      </c>
      <c r="CF118" s="222" t="inlineStr">
        <is>
          <t>Completed</t>
        </is>
      </c>
      <c r="CG118" s="223" t="inlineStr">
        <is>
          <t>7,24%</t>
        </is>
      </c>
      <c r="CH118" s="224" t="inlineStr">
        <is>
          <t>100</t>
        </is>
      </c>
      <c r="CI118" s="225" t="inlineStr">
        <is>
          <t/>
        </is>
      </c>
      <c r="CJ118" s="226" t="inlineStr">
        <is>
          <t/>
        </is>
      </c>
      <c r="CK118" s="227" t="inlineStr">
        <is>
          <t/>
        </is>
      </c>
      <c r="CL118" s="228" t="inlineStr">
        <is>
          <t/>
        </is>
      </c>
      <c r="CM118" s="229" t="inlineStr">
        <is>
          <t>7,24%</t>
        </is>
      </c>
      <c r="CN118" s="230" t="inlineStr">
        <is>
          <t>100</t>
        </is>
      </c>
      <c r="CO118" s="231" t="inlineStr">
        <is>
          <t/>
        </is>
      </c>
      <c r="CP118" s="232" t="inlineStr">
        <is>
          <t/>
        </is>
      </c>
      <c r="CQ118" s="233" t="inlineStr">
        <is>
          <t/>
        </is>
      </c>
      <c r="CR118" s="234" t="inlineStr">
        <is>
          <t/>
        </is>
      </c>
      <c r="CS118" s="235" t="inlineStr">
        <is>
          <t/>
        </is>
      </c>
      <c r="CT118" s="236" t="inlineStr">
        <is>
          <t/>
        </is>
      </c>
      <c r="CU118" s="237" t="inlineStr">
        <is>
          <t>7,24%</t>
        </is>
      </c>
      <c r="CV118" s="238" t="inlineStr">
        <is>
          <t>100</t>
        </is>
      </c>
      <c r="CW118" s="239" t="inlineStr">
        <is>
          <t>0,91x</t>
        </is>
      </c>
      <c r="CX118" s="240" t="inlineStr">
        <is>
          <t>47</t>
        </is>
      </c>
      <c r="CY118" s="241" t="inlineStr">
        <is>
          <t/>
        </is>
      </c>
      <c r="CZ118" s="242" t="inlineStr">
        <is>
          <t/>
        </is>
      </c>
      <c r="DA118" s="243" t="inlineStr">
        <is>
          <t/>
        </is>
      </c>
      <c r="DB118" s="244" t="inlineStr">
        <is>
          <t/>
        </is>
      </c>
      <c r="DC118" s="245" t="inlineStr">
        <is>
          <t>0,91x</t>
        </is>
      </c>
      <c r="DD118" s="246" t="inlineStr">
        <is>
          <t>47</t>
        </is>
      </c>
      <c r="DE118" s="247" t="inlineStr">
        <is>
          <t/>
        </is>
      </c>
      <c r="DF118" s="248" t="inlineStr">
        <is>
          <t/>
        </is>
      </c>
      <c r="DG118" s="249" t="inlineStr">
        <is>
          <t/>
        </is>
      </c>
      <c r="DH118" s="250" t="inlineStr">
        <is>
          <t/>
        </is>
      </c>
      <c r="DI118" s="251" t="inlineStr">
        <is>
          <t/>
        </is>
      </c>
      <c r="DJ118" s="252" t="inlineStr">
        <is>
          <t/>
        </is>
      </c>
      <c r="DK118" s="253" t="inlineStr">
        <is>
          <t>0,91x</t>
        </is>
      </c>
      <c r="DL118" s="254" t="inlineStr">
        <is>
          <t>49</t>
        </is>
      </c>
      <c r="DM118" s="255" t="inlineStr">
        <is>
          <t/>
        </is>
      </c>
      <c r="DN118" s="256" t="inlineStr">
        <is>
          <t/>
        </is>
      </c>
      <c r="DO118" s="257" t="inlineStr">
        <is>
          <t/>
        </is>
      </c>
      <c r="DP118" s="258" t="inlineStr">
        <is>
          <t/>
        </is>
      </c>
      <c r="DQ118" s="259" t="inlineStr">
        <is>
          <t/>
        </is>
      </c>
      <c r="DR118" s="260" t="inlineStr">
        <is>
          <t/>
        </is>
      </c>
      <c r="DS118" s="261" t="inlineStr">
        <is>
          <t/>
        </is>
      </c>
      <c r="DT118" s="262" t="inlineStr">
        <is>
          <t/>
        </is>
      </c>
      <c r="DU118" s="263" t="inlineStr">
        <is>
          <t/>
        </is>
      </c>
      <c r="DV118" s="264" t="inlineStr">
        <is>
          <t>334</t>
        </is>
      </c>
      <c r="DW118" s="265" t="inlineStr">
        <is>
          <t>17</t>
        </is>
      </c>
      <c r="DX118" s="266" t="inlineStr">
        <is>
          <t>5,36%</t>
        </is>
      </c>
      <c r="DY118" s="267" t="inlineStr">
        <is>
          <t>PitchBook Research</t>
        </is>
      </c>
      <c r="DZ118" s="786">
        <f>HYPERLINK("https://my.pitchbook.com?c=183241-63", "View company online")</f>
      </c>
    </row>
    <row r="119">
      <c r="A119" s="9" t="inlineStr">
        <is>
          <t>108841-33</t>
        </is>
      </c>
      <c r="B119" s="10" t="inlineStr">
        <is>
          <t>Hoop (Application Software)</t>
        </is>
      </c>
      <c r="C119" s="11" t="inlineStr">
        <is>
          <t>Table Stakes</t>
        </is>
      </c>
      <c r="D119" s="12" t="inlineStr">
        <is>
          <t/>
        </is>
      </c>
      <c r="E119" s="13" t="inlineStr">
        <is>
          <t>108841-33</t>
        </is>
      </c>
      <c r="F119" s="14" t="inlineStr">
        <is>
          <t>Developer of a mobile app created to help parents find comprehensive information on children's events, activities and classes. The company's mobile app helps families discover fun things to do with their kids by personalizing lists of events and classes that best suited for that specific parents children based on age, location and interests, enabling parents to discover new fun activities.</t>
        </is>
      </c>
      <c r="G119" s="15" t="inlineStr">
        <is>
          <t>Information Technology</t>
        </is>
      </c>
      <c r="H119" s="16" t="inlineStr">
        <is>
          <t>Software</t>
        </is>
      </c>
      <c r="I119" s="17" t="inlineStr">
        <is>
          <t>Application Software</t>
        </is>
      </c>
      <c r="J119" s="18" t="inlineStr">
        <is>
          <t>Application Software*; Social/Platform Software</t>
        </is>
      </c>
      <c r="K119" s="19" t="inlineStr">
        <is>
          <t>Mobile</t>
        </is>
      </c>
      <c r="L119" s="20" t="inlineStr">
        <is>
          <t>Venture Capital-Backed</t>
        </is>
      </c>
      <c r="M119" s="21" t="n">
        <v>2.68</v>
      </c>
      <c r="N119" s="22" t="inlineStr">
        <is>
          <t>Generating Revenue</t>
        </is>
      </c>
      <c r="O119" s="23" t="inlineStr">
        <is>
          <t>Privately Held (backing)</t>
        </is>
      </c>
      <c r="P119" s="24" t="inlineStr">
        <is>
          <t>Venture Capital</t>
        </is>
      </c>
      <c r="Q119" s="25" t="inlineStr">
        <is>
          <t>hoop.co.uk</t>
        </is>
      </c>
      <c r="R119" s="26" t="inlineStr">
        <is>
          <t/>
        </is>
      </c>
      <c r="S119" s="27" t="inlineStr">
        <is>
          <t/>
        </is>
      </c>
      <c r="T119" s="28" t="inlineStr">
        <is>
          <t/>
        </is>
      </c>
      <c r="U119" s="29" t="n">
        <v>2014.0</v>
      </c>
      <c r="V119" s="30" t="inlineStr">
        <is>
          <t/>
        </is>
      </c>
      <c r="W119" s="31" t="inlineStr">
        <is>
          <t/>
        </is>
      </c>
      <c r="X119" s="32" t="inlineStr">
        <is>
          <t/>
        </is>
      </c>
      <c r="Y119" s="33" t="inlineStr">
        <is>
          <t/>
        </is>
      </c>
      <c r="Z119" s="34" t="inlineStr">
        <is>
          <t/>
        </is>
      </c>
      <c r="AA119" s="35" t="inlineStr">
        <is>
          <t/>
        </is>
      </c>
      <c r="AB119" s="36" t="inlineStr">
        <is>
          <t/>
        </is>
      </c>
      <c r="AC119" s="37" t="inlineStr">
        <is>
          <t/>
        </is>
      </c>
      <c r="AD119" s="38" t="inlineStr">
        <is>
          <t/>
        </is>
      </c>
      <c r="AE119" s="39" t="inlineStr">
        <is>
          <t>165842-38P</t>
        </is>
      </c>
      <c r="AF119" s="40" t="inlineStr">
        <is>
          <t>Daniel Bower</t>
        </is>
      </c>
      <c r="AG119" s="41" t="inlineStr">
        <is>
          <t>Chief Executive Officer &amp; Co-Founder</t>
        </is>
      </c>
      <c r="AH119" s="42" t="inlineStr">
        <is>
          <t>daniel@hoop.co.uk</t>
        </is>
      </c>
      <c r="AI119" s="43" t="inlineStr">
        <is>
          <t/>
        </is>
      </c>
      <c r="AJ119" s="44" t="inlineStr">
        <is>
          <t>London, United Kingdom</t>
        </is>
      </c>
      <c r="AK119" s="45" t="inlineStr">
        <is>
          <t>9-10 Charterhouse Buildings</t>
        </is>
      </c>
      <c r="AL119" s="46" t="inlineStr">
        <is>
          <t>27-31 Clerkenwell Close</t>
        </is>
      </c>
      <c r="AM119" s="47" t="inlineStr">
        <is>
          <t>London</t>
        </is>
      </c>
      <c r="AN119" s="48" t="inlineStr">
        <is>
          <t>England</t>
        </is>
      </c>
      <c r="AO119" s="49" t="inlineStr">
        <is>
          <t>EC1M 7AN</t>
        </is>
      </c>
      <c r="AP119" s="50" t="inlineStr">
        <is>
          <t>United Kingdom</t>
        </is>
      </c>
      <c r="AQ119" s="51" t="inlineStr">
        <is>
          <t/>
        </is>
      </c>
      <c r="AR119" s="52" t="inlineStr">
        <is>
          <t/>
        </is>
      </c>
      <c r="AS119" s="53" t="inlineStr">
        <is>
          <t>hello@hoop.co.uk</t>
        </is>
      </c>
      <c r="AT119" s="54" t="inlineStr">
        <is>
          <t>Europe</t>
        </is>
      </c>
      <c r="AU119" s="55" t="inlineStr">
        <is>
          <t>Western Europe</t>
        </is>
      </c>
      <c r="AV119" s="56" t="inlineStr">
        <is>
          <t>The company raised GBP 2.4 million of seed funding in a deal led by BGF Ventures on September 27, 2017. Ustwo also participated in the round. The company intends to use the funds to grow the business across the country and begin to focus on revenue growth.</t>
        </is>
      </c>
      <c r="AW119" s="57" t="inlineStr">
        <is>
          <t>BGF Ventures, ustwo</t>
        </is>
      </c>
      <c r="AX119" s="58" t="n">
        <v>2.0</v>
      </c>
      <c r="AY119" s="59" t="inlineStr">
        <is>
          <t/>
        </is>
      </c>
      <c r="AZ119" s="60" t="inlineStr">
        <is>
          <t/>
        </is>
      </c>
      <c r="BA119" s="61" t="inlineStr">
        <is>
          <t/>
        </is>
      </c>
      <c r="BB119" s="62" t="inlineStr">
        <is>
          <t>BGF Ventures (www.bgfventures.com), ustwo (www.ustwo.com)</t>
        </is>
      </c>
      <c r="BC119" s="63" t="inlineStr">
        <is>
          <t/>
        </is>
      </c>
      <c r="BD119" s="64" t="inlineStr">
        <is>
          <t/>
        </is>
      </c>
      <c r="BE119" s="65" t="inlineStr">
        <is>
          <t/>
        </is>
      </c>
      <c r="BF119" s="66" t="inlineStr">
        <is>
          <t/>
        </is>
      </c>
      <c r="BG119" s="67" t="n">
        <v>43005.0</v>
      </c>
      <c r="BH119" s="68" t="n">
        <v>2.68</v>
      </c>
      <c r="BI119" s="69" t="inlineStr">
        <is>
          <t>Actual</t>
        </is>
      </c>
      <c r="BJ119" s="70" t="inlineStr">
        <is>
          <t/>
        </is>
      </c>
      <c r="BK119" s="71" t="inlineStr">
        <is>
          <t/>
        </is>
      </c>
      <c r="BL119" s="72" t="inlineStr">
        <is>
          <t>Seed Round</t>
        </is>
      </c>
      <c r="BM119" s="73" t="inlineStr">
        <is>
          <t>Seed</t>
        </is>
      </c>
      <c r="BN119" s="74" t="inlineStr">
        <is>
          <t/>
        </is>
      </c>
      <c r="BO119" s="75" t="inlineStr">
        <is>
          <t>Venture Capital</t>
        </is>
      </c>
      <c r="BP119" s="76" t="inlineStr">
        <is>
          <t/>
        </is>
      </c>
      <c r="BQ119" s="77" t="inlineStr">
        <is>
          <t/>
        </is>
      </c>
      <c r="BR119" s="78" t="inlineStr">
        <is>
          <t/>
        </is>
      </c>
      <c r="BS119" s="79" t="inlineStr">
        <is>
          <t>Completed</t>
        </is>
      </c>
      <c r="BT119" s="80" t="n">
        <v>43005.0</v>
      </c>
      <c r="BU119" s="81" t="n">
        <v>2.68</v>
      </c>
      <c r="BV119" s="82" t="inlineStr">
        <is>
          <t>Actual</t>
        </is>
      </c>
      <c r="BW119" s="83" t="inlineStr">
        <is>
          <t/>
        </is>
      </c>
      <c r="BX119" s="84" t="inlineStr">
        <is>
          <t/>
        </is>
      </c>
      <c r="BY119" s="85" t="inlineStr">
        <is>
          <t>Seed Round</t>
        </is>
      </c>
      <c r="BZ119" s="86" t="inlineStr">
        <is>
          <t>Seed</t>
        </is>
      </c>
      <c r="CA119" s="87" t="inlineStr">
        <is>
          <t/>
        </is>
      </c>
      <c r="CB119" s="88" t="inlineStr">
        <is>
          <t>Venture Capital</t>
        </is>
      </c>
      <c r="CC119" s="89" t="inlineStr">
        <is>
          <t/>
        </is>
      </c>
      <c r="CD119" s="90" t="inlineStr">
        <is>
          <t/>
        </is>
      </c>
      <c r="CE119" s="91" t="inlineStr">
        <is>
          <t/>
        </is>
      </c>
      <c r="CF119" s="92" t="inlineStr">
        <is>
          <t>Completed</t>
        </is>
      </c>
      <c r="CG119" s="93" t="inlineStr">
        <is>
          <t>-3,31%</t>
        </is>
      </c>
      <c r="CH119" s="94" t="inlineStr">
        <is>
          <t>6</t>
        </is>
      </c>
      <c r="CI119" s="95" t="inlineStr">
        <is>
          <t>-0,06%</t>
        </is>
      </c>
      <c r="CJ119" s="96" t="inlineStr">
        <is>
          <t>-1,74%</t>
        </is>
      </c>
      <c r="CK119" s="97" t="inlineStr">
        <is>
          <t>-8,07%</t>
        </is>
      </c>
      <c r="CL119" s="98" t="inlineStr">
        <is>
          <t>5</t>
        </is>
      </c>
      <c r="CM119" s="99" t="inlineStr">
        <is>
          <t>1,44%</t>
        </is>
      </c>
      <c r="CN119" s="100" t="inlineStr">
        <is>
          <t>98</t>
        </is>
      </c>
      <c r="CO119" s="101" t="inlineStr">
        <is>
          <t>-16,13%</t>
        </is>
      </c>
      <c r="CP119" s="102" t="inlineStr">
        <is>
          <t>7</t>
        </is>
      </c>
      <c r="CQ119" s="103" t="inlineStr">
        <is>
          <t>0,00%</t>
        </is>
      </c>
      <c r="CR119" s="104" t="inlineStr">
        <is>
          <t>20</t>
        </is>
      </c>
      <c r="CS119" s="105" t="inlineStr">
        <is>
          <t>0,36%</t>
        </is>
      </c>
      <c r="CT119" s="106" t="inlineStr">
        <is>
          <t>81</t>
        </is>
      </c>
      <c r="CU119" s="107" t="inlineStr">
        <is>
          <t>2,51%</t>
        </is>
      </c>
      <c r="CV119" s="108" t="inlineStr">
        <is>
          <t>99</t>
        </is>
      </c>
      <c r="CW119" s="109" t="inlineStr">
        <is>
          <t>14,76x</t>
        </is>
      </c>
      <c r="CX119" s="110" t="inlineStr">
        <is>
          <t>91</t>
        </is>
      </c>
      <c r="CY119" s="111" t="inlineStr">
        <is>
          <t>-0,02x</t>
        </is>
      </c>
      <c r="CZ119" s="112" t="inlineStr">
        <is>
          <t>-0,13%</t>
        </is>
      </c>
      <c r="DA119" s="113" t="inlineStr">
        <is>
          <t>0,99x</t>
        </is>
      </c>
      <c r="DB119" s="114" t="inlineStr">
        <is>
          <t>51</t>
        </is>
      </c>
      <c r="DC119" s="115" t="inlineStr">
        <is>
          <t>28,52x</t>
        </is>
      </c>
      <c r="DD119" s="116" t="inlineStr">
        <is>
          <t>92</t>
        </is>
      </c>
      <c r="DE119" s="117" t="inlineStr">
        <is>
          <t>0,81x</t>
        </is>
      </c>
      <c r="DF119" s="118" t="inlineStr">
        <is>
          <t>45</t>
        </is>
      </c>
      <c r="DG119" s="119" t="inlineStr">
        <is>
          <t>1,17x</t>
        </is>
      </c>
      <c r="DH119" s="120" t="inlineStr">
        <is>
          <t>54</t>
        </is>
      </c>
      <c r="DI119" s="121" t="inlineStr">
        <is>
          <t>54,68x</t>
        </is>
      </c>
      <c r="DJ119" s="122" t="inlineStr">
        <is>
          <t>93</t>
        </is>
      </c>
      <c r="DK119" s="123" t="inlineStr">
        <is>
          <t>2,37x</t>
        </is>
      </c>
      <c r="DL119" s="124" t="inlineStr">
        <is>
          <t>67</t>
        </is>
      </c>
      <c r="DM119" s="125" t="inlineStr">
        <is>
          <t>311</t>
        </is>
      </c>
      <c r="DN119" s="126" t="inlineStr">
        <is>
          <t>-55</t>
        </is>
      </c>
      <c r="DO119" s="127" t="inlineStr">
        <is>
          <t>-15,03%</t>
        </is>
      </c>
      <c r="DP119" s="128" t="inlineStr">
        <is>
          <t>43.211</t>
        </is>
      </c>
      <c r="DQ119" s="129" t="inlineStr">
        <is>
          <t>415</t>
        </is>
      </c>
      <c r="DR119" s="130" t="inlineStr">
        <is>
          <t>0,97%</t>
        </is>
      </c>
      <c r="DS119" s="131" t="inlineStr">
        <is>
          <t>42</t>
        </is>
      </c>
      <c r="DT119" s="132" t="inlineStr">
        <is>
          <t>-2</t>
        </is>
      </c>
      <c r="DU119" s="133" t="inlineStr">
        <is>
          <t>-4,55%</t>
        </is>
      </c>
      <c r="DV119" s="134" t="inlineStr">
        <is>
          <t>883</t>
        </is>
      </c>
      <c r="DW119" s="135" t="inlineStr">
        <is>
          <t>6</t>
        </is>
      </c>
      <c r="DX119" s="136" t="inlineStr">
        <is>
          <t>0,68%</t>
        </is>
      </c>
      <c r="DY119" s="137" t="inlineStr">
        <is>
          <t>PitchBook Research</t>
        </is>
      </c>
      <c r="DZ119" s="785">
        <f>HYPERLINK("https://my.pitchbook.com?c=108841-33", "View company online")</f>
      </c>
    </row>
    <row r="120">
      <c r="A120" s="139" t="inlineStr">
        <is>
          <t>174415-78</t>
        </is>
      </c>
      <c r="B120" s="140" t="inlineStr">
        <is>
          <t>Homelyfe</t>
        </is>
      </c>
      <c r="C120" s="141" t="inlineStr">
        <is>
          <t/>
        </is>
      </c>
      <c r="D120" s="142" t="inlineStr">
        <is>
          <t/>
        </is>
      </c>
      <c r="E120" s="143" t="inlineStr">
        <is>
          <t>174415-78</t>
        </is>
      </c>
      <c r="F120" s="144" t="inlineStr">
        <is>
          <t>Developer of a Saas based insurance application designed to make buying and managing insurance easier for consumers. The company's mobile application helps policyholders to build a home insurance policy around their needs to later have insurers bid for the business at the lowest price, enabling consumers to manage all of their insurance requirements within one app and to do everything from getting insurance quotes and purchasing, to managing and renewing multiple policies and initiating a claim using the smartphone app.</t>
        </is>
      </c>
      <c r="G120" s="145" t="inlineStr">
        <is>
          <t>Financial Services</t>
        </is>
      </c>
      <c r="H120" s="146" t="inlineStr">
        <is>
          <t>Insurance</t>
        </is>
      </c>
      <c r="I120" s="147" t="inlineStr">
        <is>
          <t>Multi-line Insurance</t>
        </is>
      </c>
      <c r="J120" s="148" t="inlineStr">
        <is>
          <t>Multi-line Insurance*; Application Software</t>
        </is>
      </c>
      <c r="K120" s="149" t="inlineStr">
        <is>
          <t>InsurTech, Mobile, SaaS</t>
        </is>
      </c>
      <c r="L120" s="150" t="inlineStr">
        <is>
          <t>Venture Capital-Backed</t>
        </is>
      </c>
      <c r="M120" s="151" t="n">
        <v>2.7</v>
      </c>
      <c r="N120" s="152" t="inlineStr">
        <is>
          <t>Generating Revenue</t>
        </is>
      </c>
      <c r="O120" s="153" t="inlineStr">
        <is>
          <t>Privately Held (backing)</t>
        </is>
      </c>
      <c r="P120" s="154" t="inlineStr">
        <is>
          <t>Venture Capital</t>
        </is>
      </c>
      <c r="Q120" s="155" t="inlineStr">
        <is>
          <t>homelyfe.com</t>
        </is>
      </c>
      <c r="R120" s="156" t="inlineStr">
        <is>
          <t/>
        </is>
      </c>
      <c r="S120" s="157" t="inlineStr">
        <is>
          <t/>
        </is>
      </c>
      <c r="T120" s="158" t="inlineStr">
        <is>
          <t/>
        </is>
      </c>
      <c r="U120" s="159" t="n">
        <v>2015.0</v>
      </c>
      <c r="V120" s="160" t="inlineStr">
        <is>
          <t/>
        </is>
      </c>
      <c r="W120" s="161" t="inlineStr">
        <is>
          <t/>
        </is>
      </c>
      <c r="X120" s="162" t="inlineStr">
        <is>
          <t/>
        </is>
      </c>
      <c r="Y120" s="163" t="inlineStr">
        <is>
          <t/>
        </is>
      </c>
      <c r="Z120" s="164" t="inlineStr">
        <is>
          <t/>
        </is>
      </c>
      <c r="AA120" s="165" t="inlineStr">
        <is>
          <t/>
        </is>
      </c>
      <c r="AB120" s="166" t="inlineStr">
        <is>
          <t/>
        </is>
      </c>
      <c r="AC120" s="167" t="inlineStr">
        <is>
          <t/>
        </is>
      </c>
      <c r="AD120" s="168" t="inlineStr">
        <is>
          <t/>
        </is>
      </c>
      <c r="AE120" s="169" t="inlineStr">
        <is>
          <t>173196-10P</t>
        </is>
      </c>
      <c r="AF120" s="170" t="inlineStr">
        <is>
          <t>Peter Goodman</t>
        </is>
      </c>
      <c r="AG120" s="171" t="inlineStr">
        <is>
          <t>Chief Executive Officer &amp; Co-Founder</t>
        </is>
      </c>
      <c r="AH120" s="172" t="inlineStr">
        <is>
          <t>peterg@whenyoumove.com</t>
        </is>
      </c>
      <c r="AI120" s="173" t="inlineStr">
        <is>
          <t>+44 (0)20 3910 9007</t>
        </is>
      </c>
      <c r="AJ120" s="174" t="inlineStr">
        <is>
          <t>London, United Kingdom</t>
        </is>
      </c>
      <c r="AK120" s="175" t="inlineStr">
        <is>
          <t>60 Grays Inn Road</t>
        </is>
      </c>
      <c r="AL120" s="176" t="inlineStr">
        <is>
          <t/>
        </is>
      </c>
      <c r="AM120" s="177" t="inlineStr">
        <is>
          <t>London</t>
        </is>
      </c>
      <c r="AN120" s="178" t="inlineStr">
        <is>
          <t>England</t>
        </is>
      </c>
      <c r="AO120" s="179" t="inlineStr">
        <is>
          <t>WC1X 8AQ</t>
        </is>
      </c>
      <c r="AP120" s="180" t="inlineStr">
        <is>
          <t>United Kingdom</t>
        </is>
      </c>
      <c r="AQ120" s="181" t="inlineStr">
        <is>
          <t>+44 (0)33 0058 0491</t>
        </is>
      </c>
      <c r="AR120" s="182" t="inlineStr">
        <is>
          <t/>
        </is>
      </c>
      <c r="AS120" s="183" t="inlineStr">
        <is>
          <t>info@homelyfe.com</t>
        </is>
      </c>
      <c r="AT120" s="184" t="inlineStr">
        <is>
          <t>Europe</t>
        </is>
      </c>
      <c r="AU120" s="185" t="inlineStr">
        <is>
          <t>Western Europe</t>
        </is>
      </c>
      <c r="AV120" s="186" t="inlineStr">
        <is>
          <t>The company raised GBP 2.4 million of seed funding in a deal led by Talis Capital and Peterson Ventures on October 25, 2017. The funds will be used to continue developing the company's proprietary technology and to grow its team.</t>
        </is>
      </c>
      <c r="AW120" s="187" t="inlineStr">
        <is>
          <t>Peterson Partners, Talis Capital</t>
        </is>
      </c>
      <c r="AX120" s="188" t="n">
        <v>2.0</v>
      </c>
      <c r="AY120" s="189" t="inlineStr">
        <is>
          <t/>
        </is>
      </c>
      <c r="AZ120" s="190" t="inlineStr">
        <is>
          <t/>
        </is>
      </c>
      <c r="BA120" s="191" t="inlineStr">
        <is>
          <t/>
        </is>
      </c>
      <c r="BB120" s="192" t="inlineStr">
        <is>
          <t>Peterson Partners (www.petersonpartners.com), Talis Capital (www.taliscapital.com)</t>
        </is>
      </c>
      <c r="BC120" s="193" t="inlineStr">
        <is>
          <t/>
        </is>
      </c>
      <c r="BD120" s="194" t="inlineStr">
        <is>
          <t/>
        </is>
      </c>
      <c r="BE120" s="195" t="inlineStr">
        <is>
          <t/>
        </is>
      </c>
      <c r="BF120" s="196" t="inlineStr">
        <is>
          <t/>
        </is>
      </c>
      <c r="BG120" s="197" t="n">
        <v>43033.0</v>
      </c>
      <c r="BH120" s="198" t="n">
        <v>2.7</v>
      </c>
      <c r="BI120" s="199" t="inlineStr">
        <is>
          <t>Actual</t>
        </is>
      </c>
      <c r="BJ120" s="200" t="inlineStr">
        <is>
          <t/>
        </is>
      </c>
      <c r="BK120" s="201" t="inlineStr">
        <is>
          <t/>
        </is>
      </c>
      <c r="BL120" s="202" t="inlineStr">
        <is>
          <t>Seed Round</t>
        </is>
      </c>
      <c r="BM120" s="203" t="inlineStr">
        <is>
          <t>Seed</t>
        </is>
      </c>
      <c r="BN120" s="204" t="inlineStr">
        <is>
          <t/>
        </is>
      </c>
      <c r="BO120" s="205" t="inlineStr">
        <is>
          <t>Venture Capital</t>
        </is>
      </c>
      <c r="BP120" s="206" t="inlineStr">
        <is>
          <t/>
        </is>
      </c>
      <c r="BQ120" s="207" t="inlineStr">
        <is>
          <t/>
        </is>
      </c>
      <c r="BR120" s="208" t="inlineStr">
        <is>
          <t/>
        </is>
      </c>
      <c r="BS120" s="209" t="inlineStr">
        <is>
          <t>Completed</t>
        </is>
      </c>
      <c r="BT120" s="210" t="n">
        <v>43033.0</v>
      </c>
      <c r="BU120" s="211" t="n">
        <v>2.7</v>
      </c>
      <c r="BV120" s="212" t="inlineStr">
        <is>
          <t>Actual</t>
        </is>
      </c>
      <c r="BW120" s="213" t="inlineStr">
        <is>
          <t/>
        </is>
      </c>
      <c r="BX120" s="214" t="inlineStr">
        <is>
          <t/>
        </is>
      </c>
      <c r="BY120" s="215" t="inlineStr">
        <is>
          <t>Seed Round</t>
        </is>
      </c>
      <c r="BZ120" s="216" t="inlineStr">
        <is>
          <t>Seed</t>
        </is>
      </c>
      <c r="CA120" s="217" t="inlineStr">
        <is>
          <t/>
        </is>
      </c>
      <c r="CB120" s="218" t="inlineStr">
        <is>
          <t>Venture Capital</t>
        </is>
      </c>
      <c r="CC120" s="219" t="inlineStr">
        <is>
          <t/>
        </is>
      </c>
      <c r="CD120" s="220" t="inlineStr">
        <is>
          <t/>
        </is>
      </c>
      <c r="CE120" s="221" t="inlineStr">
        <is>
          <t/>
        </is>
      </c>
      <c r="CF120" s="222" t="inlineStr">
        <is>
          <t>Completed</t>
        </is>
      </c>
      <c r="CG120" s="223" t="inlineStr">
        <is>
          <t>0,67%</t>
        </is>
      </c>
      <c r="CH120" s="224" t="inlineStr">
        <is>
          <t>93</t>
        </is>
      </c>
      <c r="CI120" s="225" t="inlineStr">
        <is>
          <t>0,67%</t>
        </is>
      </c>
      <c r="CJ120" s="226" t="inlineStr">
        <is>
          <t>0,00%</t>
        </is>
      </c>
      <c r="CK120" s="227" t="inlineStr">
        <is>
          <t>0,00%</t>
        </is>
      </c>
      <c r="CL120" s="228" t="inlineStr">
        <is>
          <t>28</t>
        </is>
      </c>
      <c r="CM120" s="229" t="inlineStr">
        <is>
          <t>1,34%</t>
        </is>
      </c>
      <c r="CN120" s="230" t="inlineStr">
        <is>
          <t>97</t>
        </is>
      </c>
      <c r="CO120" s="231" t="inlineStr">
        <is>
          <t>0,00%</t>
        </is>
      </c>
      <c r="CP120" s="232" t="inlineStr">
        <is>
          <t>37</t>
        </is>
      </c>
      <c r="CQ120" s="233" t="inlineStr">
        <is>
          <t>0,00%</t>
        </is>
      </c>
      <c r="CR120" s="234" t="inlineStr">
        <is>
          <t>20</t>
        </is>
      </c>
      <c r="CS120" s="235" t="inlineStr">
        <is>
          <t>1,34%</t>
        </is>
      </c>
      <c r="CT120" s="236" t="inlineStr">
        <is>
          <t>96</t>
        </is>
      </c>
      <c r="CU120" s="237" t="inlineStr">
        <is>
          <t/>
        </is>
      </c>
      <c r="CV120" s="238" t="inlineStr">
        <is>
          <t/>
        </is>
      </c>
      <c r="CW120" s="239" t="inlineStr">
        <is>
          <t>0,77x</t>
        </is>
      </c>
      <c r="CX120" s="240" t="inlineStr">
        <is>
          <t>43</t>
        </is>
      </c>
      <c r="CY120" s="241" t="inlineStr">
        <is>
          <t>0,41x</t>
        </is>
      </c>
      <c r="CZ120" s="242" t="inlineStr">
        <is>
          <t>112,80%</t>
        </is>
      </c>
      <c r="DA120" s="243" t="inlineStr">
        <is>
          <t>0,35x</t>
        </is>
      </c>
      <c r="DB120" s="244" t="inlineStr">
        <is>
          <t>27</t>
        </is>
      </c>
      <c r="DC120" s="245" t="inlineStr">
        <is>
          <t>1,20x</t>
        </is>
      </c>
      <c r="DD120" s="246" t="inlineStr">
        <is>
          <t>52</t>
        </is>
      </c>
      <c r="DE120" s="247" t="inlineStr">
        <is>
          <t>0,28x</t>
        </is>
      </c>
      <c r="DF120" s="248" t="inlineStr">
        <is>
          <t>21</t>
        </is>
      </c>
      <c r="DG120" s="249" t="inlineStr">
        <is>
          <t>0,42x</t>
        </is>
      </c>
      <c r="DH120" s="250" t="inlineStr">
        <is>
          <t>32</t>
        </is>
      </c>
      <c r="DI120" s="251" t="inlineStr">
        <is>
          <t>1,20x</t>
        </is>
      </c>
      <c r="DJ120" s="252" t="inlineStr">
        <is>
          <t>53</t>
        </is>
      </c>
      <c r="DK120" s="253" t="inlineStr">
        <is>
          <t/>
        </is>
      </c>
      <c r="DL120" s="254" t="inlineStr">
        <is>
          <t/>
        </is>
      </c>
      <c r="DM120" s="255" t="inlineStr">
        <is>
          <t>104</t>
        </is>
      </c>
      <c r="DN120" s="256" t="inlineStr">
        <is>
          <t>1</t>
        </is>
      </c>
      <c r="DO120" s="257" t="inlineStr">
        <is>
          <t>0,97%</t>
        </is>
      </c>
      <c r="DP120" s="258" t="inlineStr">
        <is>
          <t>944</t>
        </is>
      </c>
      <c r="DQ120" s="259" t="inlineStr">
        <is>
          <t>19</t>
        </is>
      </c>
      <c r="DR120" s="260" t="inlineStr">
        <is>
          <t>2,05%</t>
        </is>
      </c>
      <c r="DS120" s="261" t="inlineStr">
        <is>
          <t>15</t>
        </is>
      </c>
      <c r="DT120" s="262" t="inlineStr">
        <is>
          <t>0</t>
        </is>
      </c>
      <c r="DU120" s="263" t="inlineStr">
        <is>
          <t>0,00%</t>
        </is>
      </c>
      <c r="DV120" s="264" t="inlineStr">
        <is>
          <t>778</t>
        </is>
      </c>
      <c r="DW120" s="265" t="inlineStr">
        <is>
          <t>79</t>
        </is>
      </c>
      <c r="DX120" s="266" t="inlineStr">
        <is>
          <t>11,30%</t>
        </is>
      </c>
      <c r="DY120" s="267" t="inlineStr">
        <is>
          <t>PitchBook Research</t>
        </is>
      </c>
      <c r="DZ120" s="786">
        <f>HYPERLINK("https://my.pitchbook.com?c=174415-78", "View company online")</f>
      </c>
    </row>
    <row r="121">
      <c r="A121" s="9" t="inlineStr">
        <is>
          <t>169034-05</t>
        </is>
      </c>
      <c r="B121" s="10" t="inlineStr">
        <is>
          <t>Sensolus</t>
        </is>
      </c>
      <c r="C121" s="11" t="inlineStr">
        <is>
          <t/>
        </is>
      </c>
      <c r="D121" s="12" t="inlineStr">
        <is>
          <t/>
        </is>
      </c>
      <c r="E121" s="13" t="inlineStr">
        <is>
          <t>169034-05</t>
        </is>
      </c>
      <c r="F121" s="14" t="inlineStr">
        <is>
          <t>Developer of battery-efficient GPS trackers intended to offer care-free tracking of valuable non-powered assets directly from the cloud. The company's GPS tracker, STICKNTRACK includes both the hardware trackers as well as a fully integrated cloud application, providing users with low-power, easy to install and maintenance-free control of their valuable assets.</t>
        </is>
      </c>
      <c r="G121" s="15" t="inlineStr">
        <is>
          <t>Business Products and Services (B2B)</t>
        </is>
      </c>
      <c r="H121" s="16" t="inlineStr">
        <is>
          <t>Commercial Products</t>
        </is>
      </c>
      <c r="I121" s="17" t="inlineStr">
        <is>
          <t>Other Commercial Products</t>
        </is>
      </c>
      <c r="J121" s="18" t="inlineStr">
        <is>
          <t>Other Commercial Products*; Other Hardware; Other Software</t>
        </is>
      </c>
      <c r="K121" s="19" t="inlineStr">
        <is>
          <t>Internet of Things, Mobile, SaaS</t>
        </is>
      </c>
      <c r="L121" s="20" t="inlineStr">
        <is>
          <t>Venture Capital-Backed</t>
        </is>
      </c>
      <c r="M121" s="21" t="n">
        <v>2.75</v>
      </c>
      <c r="N121" s="22" t="inlineStr">
        <is>
          <t>Generating Revenue</t>
        </is>
      </c>
      <c r="O121" s="23" t="inlineStr">
        <is>
          <t>Privately Held (backing)</t>
        </is>
      </c>
      <c r="P121" s="24" t="inlineStr">
        <is>
          <t>Venture Capital</t>
        </is>
      </c>
      <c r="Q121" s="25" t="inlineStr">
        <is>
          <t>www.sensolus.com</t>
        </is>
      </c>
      <c r="R121" s="26" t="n">
        <v>1.0</v>
      </c>
      <c r="S121" s="27" t="inlineStr">
        <is>
          <t/>
        </is>
      </c>
      <c r="T121" s="28" t="inlineStr">
        <is>
          <t/>
        </is>
      </c>
      <c r="U121" s="29" t="n">
        <v>2013.0</v>
      </c>
      <c r="V121" s="30" t="inlineStr">
        <is>
          <t/>
        </is>
      </c>
      <c r="W121" s="31" t="inlineStr">
        <is>
          <t/>
        </is>
      </c>
      <c r="X121" s="32" t="inlineStr">
        <is>
          <t/>
        </is>
      </c>
      <c r="Y121" s="33" t="inlineStr">
        <is>
          <t/>
        </is>
      </c>
      <c r="Z121" s="34" t="inlineStr">
        <is>
          <t/>
        </is>
      </c>
      <c r="AA121" s="35" t="n">
        <v>-0.41166</v>
      </c>
      <c r="AB121" s="36" t="inlineStr">
        <is>
          <t/>
        </is>
      </c>
      <c r="AC121" s="37" t="n">
        <v>-0.04678</v>
      </c>
      <c r="AD121" s="38" t="inlineStr">
        <is>
          <t>FY 2017</t>
        </is>
      </c>
      <c r="AE121" s="39" t="inlineStr">
        <is>
          <t>152587-54P</t>
        </is>
      </c>
      <c r="AF121" s="40" t="inlineStr">
        <is>
          <t>Kristoff Van Rattinghe</t>
        </is>
      </c>
      <c r="AG121" s="41" t="inlineStr">
        <is>
          <t>Co-Founder &amp; Chief Executive Officer</t>
        </is>
      </c>
      <c r="AH121" s="42" t="inlineStr">
        <is>
          <t>kristoff@sensolus.com</t>
        </is>
      </c>
      <c r="AI121" s="43" t="inlineStr">
        <is>
          <t/>
        </is>
      </c>
      <c r="AJ121" s="44" t="inlineStr">
        <is>
          <t>Ghent, Belgium</t>
        </is>
      </c>
      <c r="AK121" s="45" t="inlineStr">
        <is>
          <t>Rijsenbergstraat 148 bus D</t>
        </is>
      </c>
      <c r="AL121" s="46" t="inlineStr">
        <is>
          <t/>
        </is>
      </c>
      <c r="AM121" s="47" t="inlineStr">
        <is>
          <t>Ghent</t>
        </is>
      </c>
      <c r="AN121" s="48" t="inlineStr">
        <is>
          <t/>
        </is>
      </c>
      <c r="AO121" s="49" t="inlineStr">
        <is>
          <t>9000</t>
        </is>
      </c>
      <c r="AP121" s="50" t="inlineStr">
        <is>
          <t>Belgium</t>
        </is>
      </c>
      <c r="AQ121" s="51" t="inlineStr">
        <is>
          <t/>
        </is>
      </c>
      <c r="AR121" s="52" t="inlineStr">
        <is>
          <t/>
        </is>
      </c>
      <c r="AS121" s="53" t="inlineStr">
        <is>
          <t>info@sensolus.com</t>
        </is>
      </c>
      <c r="AT121" s="54" t="inlineStr">
        <is>
          <t>Europe</t>
        </is>
      </c>
      <c r="AU121" s="55" t="inlineStr">
        <is>
          <t>Western Europe</t>
        </is>
      </c>
      <c r="AV121" s="56" t="inlineStr">
        <is>
          <t>The company raised EUR 2.75 million of venture funding in a round led by Capricorn Venture Partners on October 12, 2017. Quest For Growth also participated in this round. The company intends to use the funding to grow beyond European borders.</t>
        </is>
      </c>
      <c r="AW121" s="57" t="inlineStr">
        <is>
          <t>Capricorn Venture Partners, EIT Digital, Quest For Growth</t>
        </is>
      </c>
      <c r="AX121" s="58" t="n">
        <v>3.0</v>
      </c>
      <c r="AY121" s="59" t="inlineStr">
        <is>
          <t/>
        </is>
      </c>
      <c r="AZ121" s="60" t="inlineStr">
        <is>
          <t/>
        </is>
      </c>
      <c r="BA121" s="61" t="inlineStr">
        <is>
          <t/>
        </is>
      </c>
      <c r="BB121" s="62" t="inlineStr">
        <is>
          <t>Capricorn Venture Partners (www.capricorn.be), EIT Digital (www.eitdigital.eu), Quest For Growth (www.questforgrowth.com)</t>
        </is>
      </c>
      <c r="BC121" s="63" t="inlineStr">
        <is>
          <t/>
        </is>
      </c>
      <c r="BD121" s="64" t="inlineStr">
        <is>
          <t/>
        </is>
      </c>
      <c r="BE121" s="65" t="inlineStr">
        <is>
          <t/>
        </is>
      </c>
      <c r="BF121" s="66" t="inlineStr">
        <is>
          <t/>
        </is>
      </c>
      <c r="BG121" s="67" t="n">
        <v>42334.0</v>
      </c>
      <c r="BH121" s="68" t="n">
        <v>0.03</v>
      </c>
      <c r="BI121" s="69" t="inlineStr">
        <is>
          <t>Actual</t>
        </is>
      </c>
      <c r="BJ121" s="70" t="inlineStr">
        <is>
          <t/>
        </is>
      </c>
      <c r="BK121" s="71" t="inlineStr">
        <is>
          <t/>
        </is>
      </c>
      <c r="BL121" s="72" t="inlineStr">
        <is>
          <t>Accelerator/Incubator</t>
        </is>
      </c>
      <c r="BM121" s="73" t="inlineStr">
        <is>
          <t/>
        </is>
      </c>
      <c r="BN121" s="74" t="inlineStr">
        <is>
          <t/>
        </is>
      </c>
      <c r="BO121" s="75" t="inlineStr">
        <is>
          <t>Other</t>
        </is>
      </c>
      <c r="BP121" s="76" t="inlineStr">
        <is>
          <t/>
        </is>
      </c>
      <c r="BQ121" s="77" t="inlineStr">
        <is>
          <t/>
        </is>
      </c>
      <c r="BR121" s="78" t="inlineStr">
        <is>
          <t/>
        </is>
      </c>
      <c r="BS121" s="79" t="inlineStr">
        <is>
          <t>Completed</t>
        </is>
      </c>
      <c r="BT121" s="80" t="n">
        <v>43020.0</v>
      </c>
      <c r="BU121" s="81" t="n">
        <v>2.75</v>
      </c>
      <c r="BV121" s="82" t="inlineStr">
        <is>
          <t>Actual</t>
        </is>
      </c>
      <c r="BW121" s="83" t="inlineStr">
        <is>
          <t/>
        </is>
      </c>
      <c r="BX121" s="84" t="inlineStr">
        <is>
          <t/>
        </is>
      </c>
      <c r="BY121" s="85" t="inlineStr">
        <is>
          <t>Early Stage VC</t>
        </is>
      </c>
      <c r="BZ121" s="86" t="inlineStr">
        <is>
          <t/>
        </is>
      </c>
      <c r="CA121" s="87" t="inlineStr">
        <is>
          <t/>
        </is>
      </c>
      <c r="CB121" s="88" t="inlineStr">
        <is>
          <t>Venture Capital</t>
        </is>
      </c>
      <c r="CC121" s="89" t="inlineStr">
        <is>
          <t/>
        </is>
      </c>
      <c r="CD121" s="90" t="inlineStr">
        <is>
          <t/>
        </is>
      </c>
      <c r="CE121" s="91" t="inlineStr">
        <is>
          <t/>
        </is>
      </c>
      <c r="CF121" s="92" t="inlineStr">
        <is>
          <t>Completed</t>
        </is>
      </c>
      <c r="CG121" s="93" t="inlineStr">
        <is>
          <t>0,39%</t>
        </is>
      </c>
      <c r="CH121" s="94" t="inlineStr">
        <is>
          <t>90</t>
        </is>
      </c>
      <c r="CI121" s="95" t="inlineStr">
        <is>
          <t>-0,02%</t>
        </is>
      </c>
      <c r="CJ121" s="96" t="inlineStr">
        <is>
          <t>-5,67%</t>
        </is>
      </c>
      <c r="CK121" s="97" t="inlineStr">
        <is>
          <t>0,38%</t>
        </is>
      </c>
      <c r="CL121" s="98" t="inlineStr">
        <is>
          <t>93</t>
        </is>
      </c>
      <c r="CM121" s="99" t="inlineStr">
        <is>
          <t>0,40%</t>
        </is>
      </c>
      <c r="CN121" s="100" t="inlineStr">
        <is>
          <t>85</t>
        </is>
      </c>
      <c r="CO121" s="101" t="inlineStr">
        <is>
          <t>0,75%</t>
        </is>
      </c>
      <c r="CP121" s="102" t="inlineStr">
        <is>
          <t>93</t>
        </is>
      </c>
      <c r="CQ121" s="103" t="inlineStr">
        <is>
          <t>0,00%</t>
        </is>
      </c>
      <c r="CR121" s="104" t="inlineStr">
        <is>
          <t>20</t>
        </is>
      </c>
      <c r="CS121" s="105" t="inlineStr">
        <is>
          <t>0,00%</t>
        </is>
      </c>
      <c r="CT121" s="106" t="inlineStr">
        <is>
          <t>18</t>
        </is>
      </c>
      <c r="CU121" s="107" t="inlineStr">
        <is>
          <t>0,80%</t>
        </is>
      </c>
      <c r="CV121" s="108" t="inlineStr">
        <is>
          <t>95</t>
        </is>
      </c>
      <c r="CW121" s="109" t="inlineStr">
        <is>
          <t>1,24x</t>
        </is>
      </c>
      <c r="CX121" s="110" t="inlineStr">
        <is>
          <t>54</t>
        </is>
      </c>
      <c r="CY121" s="111" t="inlineStr">
        <is>
          <t>0,01x</t>
        </is>
      </c>
      <c r="CZ121" s="112" t="inlineStr">
        <is>
          <t>1,19%</t>
        </is>
      </c>
      <c r="DA121" s="113" t="inlineStr">
        <is>
          <t>2,06x</t>
        </is>
      </c>
      <c r="DB121" s="114" t="inlineStr">
        <is>
          <t>67</t>
        </is>
      </c>
      <c r="DC121" s="115" t="inlineStr">
        <is>
          <t>0,43x</t>
        </is>
      </c>
      <c r="DD121" s="116" t="inlineStr">
        <is>
          <t>33</t>
        </is>
      </c>
      <c r="DE121" s="117" t="inlineStr">
        <is>
          <t>1,47x</t>
        </is>
      </c>
      <c r="DF121" s="118" t="inlineStr">
        <is>
          <t>59</t>
        </is>
      </c>
      <c r="DG121" s="119" t="inlineStr">
        <is>
          <t>2,64x</t>
        </is>
      </c>
      <c r="DH121" s="120" t="inlineStr">
        <is>
          <t>70</t>
        </is>
      </c>
      <c r="DI121" s="121" t="inlineStr">
        <is>
          <t>0,02x</t>
        </is>
      </c>
      <c r="DJ121" s="122" t="inlineStr">
        <is>
          <t>4</t>
        </is>
      </c>
      <c r="DK121" s="123" t="inlineStr">
        <is>
          <t>0,84x</t>
        </is>
      </c>
      <c r="DL121" s="124" t="inlineStr">
        <is>
          <t>47</t>
        </is>
      </c>
      <c r="DM121" s="125" t="inlineStr">
        <is>
          <t>614</t>
        </is>
      </c>
      <c r="DN121" s="126" t="inlineStr">
        <is>
          <t>-204</t>
        </is>
      </c>
      <c r="DO121" s="127" t="inlineStr">
        <is>
          <t>-24,94%</t>
        </is>
      </c>
      <c r="DP121" s="128" t="inlineStr">
        <is>
          <t>14</t>
        </is>
      </c>
      <c r="DQ121" s="129" t="inlineStr">
        <is>
          <t>1</t>
        </is>
      </c>
      <c r="DR121" s="130" t="inlineStr">
        <is>
          <t>7,69%</t>
        </is>
      </c>
      <c r="DS121" s="131" t="inlineStr">
        <is>
          <t>94</t>
        </is>
      </c>
      <c r="DT121" s="132" t="inlineStr">
        <is>
          <t>2</t>
        </is>
      </c>
      <c r="DU121" s="133" t="inlineStr">
        <is>
          <t>2,17%</t>
        </is>
      </c>
      <c r="DV121" s="134" t="inlineStr">
        <is>
          <t>310</t>
        </is>
      </c>
      <c r="DW121" s="135" t="inlineStr">
        <is>
          <t>2</t>
        </is>
      </c>
      <c r="DX121" s="136" t="inlineStr">
        <is>
          <t>0,65%</t>
        </is>
      </c>
      <c r="DY121" s="137" t="inlineStr">
        <is>
          <t>PitchBook Research</t>
        </is>
      </c>
      <c r="DZ121" s="785">
        <f>HYPERLINK("https://my.pitchbook.com?c=169034-05", "View company online")</f>
      </c>
    </row>
    <row r="122">
      <c r="A122" s="139" t="inlineStr">
        <is>
          <t>172958-32</t>
        </is>
      </c>
      <c r="B122" s="140" t="inlineStr">
        <is>
          <t>Cazana</t>
        </is>
      </c>
      <c r="C122" s="141" t="inlineStr">
        <is>
          <t>UK Vehicle</t>
        </is>
      </c>
      <c r="D122" s="142" t="inlineStr">
        <is>
          <t/>
        </is>
      </c>
      <c r="E122" s="143" t="inlineStr">
        <is>
          <t>172958-32</t>
        </is>
      </c>
      <c r="F122" s="144" t="inlineStr">
        <is>
          <t>Operator of a vehicle database intended to offer a car search and indexing engine. The company's vehicle database leverages artificial intelligence (AI) to show every car on-sale, extract the hidden history on every vehicle as well as help people to track a car's value and history with a timeline of events from manufacturer to present day, enabling customers to better understand residual value risk and the changing prices of vehicles.</t>
        </is>
      </c>
      <c r="G122" s="145" t="inlineStr">
        <is>
          <t>Information Technology</t>
        </is>
      </c>
      <c r="H122" s="146" t="inlineStr">
        <is>
          <t>Software</t>
        </is>
      </c>
      <c r="I122" s="147" t="inlineStr">
        <is>
          <t>Application Software</t>
        </is>
      </c>
      <c r="J122" s="148" t="inlineStr">
        <is>
          <t>Application Software*; Information Services (B2C); Database Software</t>
        </is>
      </c>
      <c r="K122" s="149" t="inlineStr">
        <is>
          <t>Artificial Intelligence &amp; Machine Learning, SaaS</t>
        </is>
      </c>
      <c r="L122" s="150" t="inlineStr">
        <is>
          <t>Venture Capital-Backed</t>
        </is>
      </c>
      <c r="M122" s="151" t="n">
        <v>2.84</v>
      </c>
      <c r="N122" s="152" t="inlineStr">
        <is>
          <t>Generating Revenue</t>
        </is>
      </c>
      <c r="O122" s="153" t="inlineStr">
        <is>
          <t>Privately Held (backing)</t>
        </is>
      </c>
      <c r="P122" s="154" t="inlineStr">
        <is>
          <t>Venture Capital</t>
        </is>
      </c>
      <c r="Q122" s="155" t="inlineStr">
        <is>
          <t>www.cazana.com</t>
        </is>
      </c>
      <c r="R122" s="156" t="inlineStr">
        <is>
          <t/>
        </is>
      </c>
      <c r="S122" s="157" t="inlineStr">
        <is>
          <t/>
        </is>
      </c>
      <c r="T122" s="158" t="inlineStr">
        <is>
          <t/>
        </is>
      </c>
      <c r="U122" s="159" t="n">
        <v>2013.0</v>
      </c>
      <c r="V122" s="160" t="inlineStr">
        <is>
          <t/>
        </is>
      </c>
      <c r="W122" s="161" t="inlineStr">
        <is>
          <t/>
        </is>
      </c>
      <c r="X122" s="162" t="inlineStr">
        <is>
          <t/>
        </is>
      </c>
      <c r="Y122" s="163" t="inlineStr">
        <is>
          <t/>
        </is>
      </c>
      <c r="Z122" s="164" t="inlineStr">
        <is>
          <t/>
        </is>
      </c>
      <c r="AA122" s="165" t="inlineStr">
        <is>
          <t/>
        </is>
      </c>
      <c r="AB122" s="166" t="inlineStr">
        <is>
          <t/>
        </is>
      </c>
      <c r="AC122" s="167" t="inlineStr">
        <is>
          <t/>
        </is>
      </c>
      <c r="AD122" s="168" t="inlineStr">
        <is>
          <t/>
        </is>
      </c>
      <c r="AE122" s="169" t="inlineStr">
        <is>
          <t>163373-86P</t>
        </is>
      </c>
      <c r="AF122" s="170" t="inlineStr">
        <is>
          <t>Tom Wood</t>
        </is>
      </c>
      <c r="AG122" s="171" t="inlineStr">
        <is>
          <t>Chief Executive Officer &amp; Founder</t>
        </is>
      </c>
      <c r="AH122" s="172" t="inlineStr">
        <is>
          <t>twood@cazana.com</t>
        </is>
      </c>
      <c r="AI122" s="173" t="inlineStr">
        <is>
          <t>+44 (0)20 3475 1492</t>
        </is>
      </c>
      <c r="AJ122" s="174" t="inlineStr">
        <is>
          <t>London, United Kingdom</t>
        </is>
      </c>
      <c r="AK122" s="175" t="inlineStr">
        <is>
          <t>3Space, Keetons Road</t>
        </is>
      </c>
      <c r="AL122" s="176" t="inlineStr">
        <is>
          <t/>
        </is>
      </c>
      <c r="AM122" s="177" t="inlineStr">
        <is>
          <t>London</t>
        </is>
      </c>
      <c r="AN122" s="178" t="inlineStr">
        <is>
          <t>England</t>
        </is>
      </c>
      <c r="AO122" s="179" t="inlineStr">
        <is>
          <t>SE16 4EE</t>
        </is>
      </c>
      <c r="AP122" s="180" t="inlineStr">
        <is>
          <t>United Kingdom</t>
        </is>
      </c>
      <c r="AQ122" s="181" t="inlineStr">
        <is>
          <t>+44 (0)20 3475 1492</t>
        </is>
      </c>
      <c r="AR122" s="182" t="inlineStr">
        <is>
          <t/>
        </is>
      </c>
      <c r="AS122" s="183" t="inlineStr">
        <is>
          <t/>
        </is>
      </c>
      <c r="AT122" s="184" t="inlineStr">
        <is>
          <t>Europe</t>
        </is>
      </c>
      <c r="AU122" s="185" t="inlineStr">
        <is>
          <t>Western Europe</t>
        </is>
      </c>
      <c r="AV122" s="186" t="inlineStr">
        <is>
          <t>The company raised GBP 1.75 million of venture funding from Passion Capital, Origin Capital Management and Andy Homer on November 9, 2017. Robert Diamond and Payman Pouladdej also participated in this round. The company intends to use the funds to accelerate its growth plans.</t>
        </is>
      </c>
      <c r="AW122" s="187" t="inlineStr">
        <is>
          <t>Andy Homer, Origin Capital Management, Passion Capital, Payman Pouladdej, Robert Diamond</t>
        </is>
      </c>
      <c r="AX122" s="188" t="n">
        <v>5.0</v>
      </c>
      <c r="AY122" s="189" t="inlineStr">
        <is>
          <t/>
        </is>
      </c>
      <c r="AZ122" s="190" t="inlineStr">
        <is>
          <t/>
        </is>
      </c>
      <c r="BA122" s="191" t="inlineStr">
        <is>
          <t/>
        </is>
      </c>
      <c r="BB122" s="192" t="inlineStr">
        <is>
          <t>Passion Capital (www.passioncapital.com)</t>
        </is>
      </c>
      <c r="BC122" s="193" t="inlineStr">
        <is>
          <t/>
        </is>
      </c>
      <c r="BD122" s="194" t="inlineStr">
        <is>
          <t/>
        </is>
      </c>
      <c r="BE122" s="195" t="inlineStr">
        <is>
          <t/>
        </is>
      </c>
      <c r="BF122" s="196" t="inlineStr">
        <is>
          <t/>
        </is>
      </c>
      <c r="BG122" s="197" t="n">
        <v>42613.0</v>
      </c>
      <c r="BH122" s="198" t="n">
        <v>0.88</v>
      </c>
      <c r="BI122" s="199" t="inlineStr">
        <is>
          <t>Actual</t>
        </is>
      </c>
      <c r="BJ122" s="200" t="n">
        <v>4.84</v>
      </c>
      <c r="BK122" s="201" t="inlineStr">
        <is>
          <t>Actual</t>
        </is>
      </c>
      <c r="BL122" s="202" t="inlineStr">
        <is>
          <t>Early Stage VC</t>
        </is>
      </c>
      <c r="BM122" s="203" t="inlineStr">
        <is>
          <t/>
        </is>
      </c>
      <c r="BN122" s="204" t="inlineStr">
        <is>
          <t/>
        </is>
      </c>
      <c r="BO122" s="205" t="inlineStr">
        <is>
          <t>Venture Capital</t>
        </is>
      </c>
      <c r="BP122" s="206" t="inlineStr">
        <is>
          <t/>
        </is>
      </c>
      <c r="BQ122" s="207" t="inlineStr">
        <is>
          <t/>
        </is>
      </c>
      <c r="BR122" s="208" t="inlineStr">
        <is>
          <t/>
        </is>
      </c>
      <c r="BS122" s="209" t="inlineStr">
        <is>
          <t>Completed</t>
        </is>
      </c>
      <c r="BT122" s="210" t="n">
        <v>43048.0</v>
      </c>
      <c r="BU122" s="211" t="n">
        <v>1.97</v>
      </c>
      <c r="BV122" s="212" t="inlineStr">
        <is>
          <t>Actual</t>
        </is>
      </c>
      <c r="BW122" s="213" t="inlineStr">
        <is>
          <t/>
        </is>
      </c>
      <c r="BX122" s="214" t="inlineStr">
        <is>
          <t/>
        </is>
      </c>
      <c r="BY122" s="215" t="inlineStr">
        <is>
          <t>Early Stage VC</t>
        </is>
      </c>
      <c r="BZ122" s="216" t="inlineStr">
        <is>
          <t/>
        </is>
      </c>
      <c r="CA122" s="217" t="inlineStr">
        <is>
          <t/>
        </is>
      </c>
      <c r="CB122" s="218" t="inlineStr">
        <is>
          <t>Venture Capital</t>
        </is>
      </c>
      <c r="CC122" s="219" t="inlineStr">
        <is>
          <t/>
        </is>
      </c>
      <c r="CD122" s="220" t="inlineStr">
        <is>
          <t/>
        </is>
      </c>
      <c r="CE122" s="221" t="inlineStr">
        <is>
          <t/>
        </is>
      </c>
      <c r="CF122" s="222" t="inlineStr">
        <is>
          <t>Completed</t>
        </is>
      </c>
      <c r="CG122" s="223" t="inlineStr">
        <is>
          <t>-6,28%</t>
        </is>
      </c>
      <c r="CH122" s="224" t="inlineStr">
        <is>
          <t>3</t>
        </is>
      </c>
      <c r="CI122" s="225" t="inlineStr">
        <is>
          <t>0,07%</t>
        </is>
      </c>
      <c r="CJ122" s="226" t="inlineStr">
        <is>
          <t>1,12%</t>
        </is>
      </c>
      <c r="CK122" s="227" t="inlineStr">
        <is>
          <t>-14,44%</t>
        </is>
      </c>
      <c r="CL122" s="228" t="inlineStr">
        <is>
          <t>1</t>
        </is>
      </c>
      <c r="CM122" s="229" t="inlineStr">
        <is>
          <t>1,89%</t>
        </is>
      </c>
      <c r="CN122" s="230" t="inlineStr">
        <is>
          <t>99</t>
        </is>
      </c>
      <c r="CO122" s="231" t="inlineStr">
        <is>
          <t>-28,89%</t>
        </is>
      </c>
      <c r="CP122" s="232" t="inlineStr">
        <is>
          <t>1</t>
        </is>
      </c>
      <c r="CQ122" s="233" t="inlineStr">
        <is>
          <t>0,00%</t>
        </is>
      </c>
      <c r="CR122" s="234" t="inlineStr">
        <is>
          <t>20</t>
        </is>
      </c>
      <c r="CS122" s="235" t="inlineStr">
        <is>
          <t>1,89%</t>
        </is>
      </c>
      <c r="CT122" s="236" t="inlineStr">
        <is>
          <t>98</t>
        </is>
      </c>
      <c r="CU122" s="237" t="inlineStr">
        <is>
          <t/>
        </is>
      </c>
      <c r="CV122" s="238" t="inlineStr">
        <is>
          <t/>
        </is>
      </c>
      <c r="CW122" s="239" t="inlineStr">
        <is>
          <t>2,16x</t>
        </is>
      </c>
      <c r="CX122" s="240" t="inlineStr">
        <is>
          <t>66</t>
        </is>
      </c>
      <c r="CY122" s="241" t="inlineStr">
        <is>
          <t>0,01x</t>
        </is>
      </c>
      <c r="CZ122" s="242" t="inlineStr">
        <is>
          <t>0,47%</t>
        </is>
      </c>
      <c r="DA122" s="243" t="inlineStr">
        <is>
          <t>2,96x</t>
        </is>
      </c>
      <c r="DB122" s="244" t="inlineStr">
        <is>
          <t>74</t>
        </is>
      </c>
      <c r="DC122" s="245" t="inlineStr">
        <is>
          <t>1,36x</t>
        </is>
      </c>
      <c r="DD122" s="246" t="inlineStr">
        <is>
          <t>54</t>
        </is>
      </c>
      <c r="DE122" s="247" t="inlineStr">
        <is>
          <t>5,69x</t>
        </is>
      </c>
      <c r="DF122" s="248" t="inlineStr">
        <is>
          <t>82</t>
        </is>
      </c>
      <c r="DG122" s="249" t="inlineStr">
        <is>
          <t>0,22x</t>
        </is>
      </c>
      <c r="DH122" s="250" t="inlineStr">
        <is>
          <t>20</t>
        </is>
      </c>
      <c r="DI122" s="251" t="inlineStr">
        <is>
          <t>1,36x</t>
        </is>
      </c>
      <c r="DJ122" s="252" t="inlineStr">
        <is>
          <t>56</t>
        </is>
      </c>
      <c r="DK122" s="253" t="inlineStr">
        <is>
          <t/>
        </is>
      </c>
      <c r="DL122" s="254" t="inlineStr">
        <is>
          <t/>
        </is>
      </c>
      <c r="DM122" s="255" t="inlineStr">
        <is>
          <t>2.128</t>
        </is>
      </c>
      <c r="DN122" s="256" t="inlineStr">
        <is>
          <t>-86</t>
        </is>
      </c>
      <c r="DO122" s="257" t="inlineStr">
        <is>
          <t>-3,88%</t>
        </is>
      </c>
      <c r="DP122" s="258" t="inlineStr">
        <is>
          <t>1.068</t>
        </is>
      </c>
      <c r="DQ122" s="259" t="inlineStr">
        <is>
          <t>29</t>
        </is>
      </c>
      <c r="DR122" s="260" t="inlineStr">
        <is>
          <t>2,79%</t>
        </is>
      </c>
      <c r="DS122" s="261" t="inlineStr">
        <is>
          <t>7</t>
        </is>
      </c>
      <c r="DT122" s="262" t="inlineStr">
        <is>
          <t>0</t>
        </is>
      </c>
      <c r="DU122" s="263" t="inlineStr">
        <is>
          <t>0,00%</t>
        </is>
      </c>
      <c r="DV122" s="264" t="inlineStr">
        <is>
          <t>2.084</t>
        </is>
      </c>
      <c r="DW122" s="265" t="inlineStr">
        <is>
          <t>-27</t>
        </is>
      </c>
      <c r="DX122" s="266" t="inlineStr">
        <is>
          <t>-1,28%</t>
        </is>
      </c>
      <c r="DY122" s="267" t="inlineStr">
        <is>
          <t>PitchBook Research</t>
        </is>
      </c>
      <c r="DZ122" s="786">
        <f>HYPERLINK("https://my.pitchbook.com?c=172958-32", "View company online")</f>
      </c>
    </row>
    <row r="123">
      <c r="A123" s="9" t="inlineStr">
        <is>
          <t>222190-21</t>
        </is>
      </c>
      <c r="B123" s="10" t="inlineStr">
        <is>
          <t>Personal Medication &amp; Health Management</t>
        </is>
      </c>
      <c r="C123" s="11" t="inlineStr">
        <is>
          <t/>
        </is>
      </c>
      <c r="D123" s="12" t="inlineStr">
        <is>
          <t>PM&amp;HM</t>
        </is>
      </c>
      <c r="E123" s="13" t="inlineStr">
        <is>
          <t>222190-21</t>
        </is>
      </c>
      <c r="F123" s="14" t="inlineStr">
        <is>
          <t>Developer of aerosol inhalers intended to reduce the side effect of drugs. The company's inhalers and telemedicine platform is a health management service and a drug delivery technology which is equipped with temperature sensors and dose measurement sensors. The inhalers determine who uses it (the fingerprint identifier is integrated into the device), what dose is recommended by the doctor and monitors the receipt of the required amount of aerosol by the patient, enabling doctors to adjust the treatment online and patients to get personal treatment.</t>
        </is>
      </c>
      <c r="G123" s="15" t="inlineStr">
        <is>
          <t>Healthcare</t>
        </is>
      </c>
      <c r="H123" s="16" t="inlineStr">
        <is>
          <t>Healthcare Devices and Supplies</t>
        </is>
      </c>
      <c r="I123" s="17" t="inlineStr">
        <is>
          <t>Therapeutic Devices</t>
        </is>
      </c>
      <c r="J123" s="18" t="inlineStr">
        <is>
          <t>Therapeutic Devices*; Other Healthcare Technology Systems; Drug Delivery</t>
        </is>
      </c>
      <c r="K123" s="19" t="inlineStr">
        <is>
          <t>HealthTech, Manufacturing, Mobile</t>
        </is>
      </c>
      <c r="L123" s="20" t="inlineStr">
        <is>
          <t>Venture Capital-Backed</t>
        </is>
      </c>
      <c r="M123" s="21" t="n">
        <v>2.87</v>
      </c>
      <c r="N123" s="22" t="inlineStr">
        <is>
          <t>Generating Revenue</t>
        </is>
      </c>
      <c r="O123" s="23" t="inlineStr">
        <is>
          <t>Privately Held (backing)</t>
        </is>
      </c>
      <c r="P123" s="24" t="inlineStr">
        <is>
          <t>Venture Capital</t>
        </is>
      </c>
      <c r="Q123" s="25" t="inlineStr">
        <is>
          <t>www.pm-hm.ru</t>
        </is>
      </c>
      <c r="R123" s="26" t="inlineStr">
        <is>
          <t/>
        </is>
      </c>
      <c r="S123" s="27" t="inlineStr">
        <is>
          <t/>
        </is>
      </c>
      <c r="T123" s="28" t="inlineStr">
        <is>
          <t/>
        </is>
      </c>
      <c r="U123" s="29" t="inlineStr">
        <is>
          <t/>
        </is>
      </c>
      <c r="V123" s="30" t="inlineStr">
        <is>
          <t/>
        </is>
      </c>
      <c r="W123" s="31" t="inlineStr">
        <is>
          <t/>
        </is>
      </c>
      <c r="X123" s="32" t="inlineStr">
        <is>
          <t/>
        </is>
      </c>
      <c r="Y123" s="33" t="inlineStr">
        <is>
          <t/>
        </is>
      </c>
      <c r="Z123" s="34" t="inlineStr">
        <is>
          <t/>
        </is>
      </c>
      <c r="AA123" s="35" t="inlineStr">
        <is>
          <t/>
        </is>
      </c>
      <c r="AB123" s="36" t="inlineStr">
        <is>
          <t/>
        </is>
      </c>
      <c r="AC123" s="37" t="inlineStr">
        <is>
          <t/>
        </is>
      </c>
      <c r="AD123" s="38" t="inlineStr">
        <is>
          <t/>
        </is>
      </c>
      <c r="AE123" s="39" t="inlineStr">
        <is>
          <t/>
        </is>
      </c>
      <c r="AF123" s="40" t="inlineStr">
        <is>
          <t/>
        </is>
      </c>
      <c r="AG123" s="41" t="inlineStr">
        <is>
          <t/>
        </is>
      </c>
      <c r="AH123" s="42" t="inlineStr">
        <is>
          <t/>
        </is>
      </c>
      <c r="AI123" s="43" t="inlineStr">
        <is>
          <t/>
        </is>
      </c>
      <c r="AJ123" s="44" t="inlineStr">
        <is>
          <t>Novosibirsk, Russia</t>
        </is>
      </c>
      <c r="AK123" s="45" t="inlineStr">
        <is>
          <t>Krasny prospect, 153a</t>
        </is>
      </c>
      <c r="AL123" s="46" t="inlineStr">
        <is>
          <t/>
        </is>
      </c>
      <c r="AM123" s="47" t="inlineStr">
        <is>
          <t>Novosibirsk</t>
        </is>
      </c>
      <c r="AN123" s="48" t="inlineStr">
        <is>
          <t/>
        </is>
      </c>
      <c r="AO123" s="49" t="inlineStr">
        <is>
          <t>630049</t>
        </is>
      </c>
      <c r="AP123" s="50" t="inlineStr">
        <is>
          <t>Russia</t>
        </is>
      </c>
      <c r="AQ123" s="51" t="inlineStr">
        <is>
          <t>+7 (8)383 363 2345</t>
        </is>
      </c>
      <c r="AR123" s="52" t="inlineStr">
        <is>
          <t/>
        </is>
      </c>
      <c r="AS123" s="53" t="inlineStr">
        <is>
          <t>priemnaya@pm-hm.com</t>
        </is>
      </c>
      <c r="AT123" s="54" t="inlineStr">
        <is>
          <t>Europe</t>
        </is>
      </c>
      <c r="AU123" s="55" t="inlineStr">
        <is>
          <t>Eastern Europe</t>
        </is>
      </c>
      <c r="AV123" s="56" t="inlineStr">
        <is>
          <t>The company raised RUB 195 million of venture funding from the Internet Initiatives Development Fund on November 13, 2017, putting the company's pre-money valuation at RUB 362 million. The funds will be used for clinical research, production organization and software development.</t>
        </is>
      </c>
      <c r="AW123" s="57" t="inlineStr">
        <is>
          <t>Foundation for Internet Development-Initiatives</t>
        </is>
      </c>
      <c r="AX123" s="58" t="n">
        <v>1.0</v>
      </c>
      <c r="AY123" s="59" t="inlineStr">
        <is>
          <t/>
        </is>
      </c>
      <c r="AZ123" s="60" t="inlineStr">
        <is>
          <t/>
        </is>
      </c>
      <c r="BA123" s="61" t="inlineStr">
        <is>
          <t/>
        </is>
      </c>
      <c r="BB123" s="62" t="inlineStr">
        <is>
          <t>Foundation for Internet Development-Initiatives (www.iidf.ru)</t>
        </is>
      </c>
      <c r="BC123" s="63" t="inlineStr">
        <is>
          <t/>
        </is>
      </c>
      <c r="BD123" s="64" t="inlineStr">
        <is>
          <t/>
        </is>
      </c>
      <c r="BE123" s="65" t="inlineStr">
        <is>
          <t/>
        </is>
      </c>
      <c r="BF123" s="66" t="inlineStr">
        <is>
          <t/>
        </is>
      </c>
      <c r="BG123" s="67" t="n">
        <v>43052.0</v>
      </c>
      <c r="BH123" s="68" t="n">
        <v>2.87</v>
      </c>
      <c r="BI123" s="69" t="inlineStr">
        <is>
          <t>Actual</t>
        </is>
      </c>
      <c r="BJ123" s="70" t="n">
        <v>8.21</v>
      </c>
      <c r="BK123" s="71" t="inlineStr">
        <is>
          <t>Actual</t>
        </is>
      </c>
      <c r="BL123" s="72" t="inlineStr">
        <is>
          <t>Early Stage VC</t>
        </is>
      </c>
      <c r="BM123" s="73" t="inlineStr">
        <is>
          <t/>
        </is>
      </c>
      <c r="BN123" s="74" t="inlineStr">
        <is>
          <t/>
        </is>
      </c>
      <c r="BO123" s="75" t="inlineStr">
        <is>
          <t>Venture Capital</t>
        </is>
      </c>
      <c r="BP123" s="76" t="inlineStr">
        <is>
          <t/>
        </is>
      </c>
      <c r="BQ123" s="77" t="inlineStr">
        <is>
          <t/>
        </is>
      </c>
      <c r="BR123" s="78" t="inlineStr">
        <is>
          <t/>
        </is>
      </c>
      <c r="BS123" s="79" t="inlineStr">
        <is>
          <t>Completed</t>
        </is>
      </c>
      <c r="BT123" s="80" t="n">
        <v>43052.0</v>
      </c>
      <c r="BU123" s="81" t="n">
        <v>2.87</v>
      </c>
      <c r="BV123" s="82" t="inlineStr">
        <is>
          <t>Actual</t>
        </is>
      </c>
      <c r="BW123" s="83" t="n">
        <v>8.21</v>
      </c>
      <c r="BX123" s="84" t="inlineStr">
        <is>
          <t>Actual</t>
        </is>
      </c>
      <c r="BY123" s="85" t="inlineStr">
        <is>
          <t>Early Stage VC</t>
        </is>
      </c>
      <c r="BZ123" s="86" t="inlineStr">
        <is>
          <t/>
        </is>
      </c>
      <c r="CA123" s="87" t="inlineStr">
        <is>
          <t/>
        </is>
      </c>
      <c r="CB123" s="88" t="inlineStr">
        <is>
          <t>Venture Capital</t>
        </is>
      </c>
      <c r="CC123" s="89" t="inlineStr">
        <is>
          <t/>
        </is>
      </c>
      <c r="CD123" s="90" t="inlineStr">
        <is>
          <t/>
        </is>
      </c>
      <c r="CE123" s="91" t="inlineStr">
        <is>
          <t/>
        </is>
      </c>
      <c r="CF123" s="92" t="inlineStr">
        <is>
          <t>Completed</t>
        </is>
      </c>
      <c r="CG123" s="93" t="inlineStr">
        <is>
          <t/>
        </is>
      </c>
      <c r="CH123" s="94" t="inlineStr">
        <is>
          <t/>
        </is>
      </c>
      <c r="CI123" s="95" t="inlineStr">
        <is>
          <t/>
        </is>
      </c>
      <c r="CJ123" s="96" t="inlineStr">
        <is>
          <t/>
        </is>
      </c>
      <c r="CK123" s="97" t="inlineStr">
        <is>
          <t/>
        </is>
      </c>
      <c r="CL123" s="98" t="inlineStr">
        <is>
          <t/>
        </is>
      </c>
      <c r="CM123" s="99" t="inlineStr">
        <is>
          <t/>
        </is>
      </c>
      <c r="CN123" s="100" t="inlineStr">
        <is>
          <t/>
        </is>
      </c>
      <c r="CO123" s="101" t="inlineStr">
        <is>
          <t/>
        </is>
      </c>
      <c r="CP123" s="102" t="inlineStr">
        <is>
          <t/>
        </is>
      </c>
      <c r="CQ123" s="103" t="inlineStr">
        <is>
          <t/>
        </is>
      </c>
      <c r="CR123" s="104" t="inlineStr">
        <is>
          <t/>
        </is>
      </c>
      <c r="CS123" s="105" t="inlineStr">
        <is>
          <t/>
        </is>
      </c>
      <c r="CT123" s="106" t="inlineStr">
        <is>
          <t/>
        </is>
      </c>
      <c r="CU123" s="107" t="inlineStr">
        <is>
          <t/>
        </is>
      </c>
      <c r="CV123" s="108" t="inlineStr">
        <is>
          <t/>
        </is>
      </c>
      <c r="CW123" s="109" t="inlineStr">
        <is>
          <t/>
        </is>
      </c>
      <c r="CX123" s="110" t="inlineStr">
        <is>
          <t/>
        </is>
      </c>
      <c r="CY123" s="111" t="inlineStr">
        <is>
          <t/>
        </is>
      </c>
      <c r="CZ123" s="112" t="inlineStr">
        <is>
          <t/>
        </is>
      </c>
      <c r="DA123" s="113" t="inlineStr">
        <is>
          <t/>
        </is>
      </c>
      <c r="DB123" s="114" t="inlineStr">
        <is>
          <t/>
        </is>
      </c>
      <c r="DC123" s="115" t="inlineStr">
        <is>
          <t/>
        </is>
      </c>
      <c r="DD123" s="116" t="inlineStr">
        <is>
          <t/>
        </is>
      </c>
      <c r="DE123" s="117" t="inlineStr">
        <is>
          <t/>
        </is>
      </c>
      <c r="DF123" s="118" t="inlineStr">
        <is>
          <t/>
        </is>
      </c>
      <c r="DG123" s="119" t="inlineStr">
        <is>
          <t/>
        </is>
      </c>
      <c r="DH123" s="120" t="inlineStr">
        <is>
          <t/>
        </is>
      </c>
      <c r="DI123" s="121" t="inlineStr">
        <is>
          <t/>
        </is>
      </c>
      <c r="DJ123" s="122" t="inlineStr">
        <is>
          <t/>
        </is>
      </c>
      <c r="DK123" s="123" t="inlineStr">
        <is>
          <t/>
        </is>
      </c>
      <c r="DL123" s="124" t="inlineStr">
        <is>
          <t/>
        </is>
      </c>
      <c r="DM123" s="125" t="inlineStr">
        <is>
          <t/>
        </is>
      </c>
      <c r="DN123" s="126" t="inlineStr">
        <is>
          <t/>
        </is>
      </c>
      <c r="DO123" s="127" t="inlineStr">
        <is>
          <t/>
        </is>
      </c>
      <c r="DP123" s="128" t="inlineStr">
        <is>
          <t/>
        </is>
      </c>
      <c r="DQ123" s="129" t="inlineStr">
        <is>
          <t/>
        </is>
      </c>
      <c r="DR123" s="130" t="inlineStr">
        <is>
          <t/>
        </is>
      </c>
      <c r="DS123" s="131" t="inlineStr">
        <is>
          <t/>
        </is>
      </c>
      <c r="DT123" s="132" t="inlineStr">
        <is>
          <t/>
        </is>
      </c>
      <c r="DU123" s="133" t="inlineStr">
        <is>
          <t/>
        </is>
      </c>
      <c r="DV123" s="134" t="inlineStr">
        <is>
          <t/>
        </is>
      </c>
      <c r="DW123" s="135" t="inlineStr">
        <is>
          <t/>
        </is>
      </c>
      <c r="DX123" s="136" t="inlineStr">
        <is>
          <t/>
        </is>
      </c>
      <c r="DY123" s="137" t="inlineStr">
        <is>
          <t>PitchBook Research</t>
        </is>
      </c>
      <c r="DZ123" s="785">
        <f>HYPERLINK("https://my.pitchbook.com?c=222190-21", "View company online")</f>
      </c>
    </row>
    <row r="124">
      <c r="A124" s="139" t="inlineStr">
        <is>
          <t>168491-17</t>
        </is>
      </c>
      <c r="B124" s="140" t="inlineStr">
        <is>
          <t>Bird.i</t>
        </is>
      </c>
      <c r="C124" s="141" t="inlineStr">
        <is>
          <t/>
        </is>
      </c>
      <c r="D124" s="142" t="inlineStr">
        <is>
          <t/>
        </is>
      </c>
      <c r="E124" s="143" t="inlineStr">
        <is>
          <t>168491-17</t>
        </is>
      </c>
      <c r="F124" s="144" t="inlineStr">
        <is>
          <t>Provider of an online location-based application designed to bring the benefits of timely satellite and airborne imagery to everyone. The company's online location-based application brings satellite and airborne images to the mass market as well as offers satellite imagery of earth and analytics around the forecast, providing the construction, tourism and real-estate sectors with remote facility monitoring and to raise awareness, make informed decision and experience benefits.</t>
        </is>
      </c>
      <c r="G124" s="145" t="inlineStr">
        <is>
          <t>Information Technology</t>
        </is>
      </c>
      <c r="H124" s="146" t="inlineStr">
        <is>
          <t>Software</t>
        </is>
      </c>
      <c r="I124" s="147" t="inlineStr">
        <is>
          <t>Application Software</t>
        </is>
      </c>
      <c r="J124" s="148" t="inlineStr">
        <is>
          <t>Application Software*; Media and Information Services (B2B)</t>
        </is>
      </c>
      <c r="K124" s="149" t="inlineStr">
        <is>
          <t>Mobile, Space Technology</t>
        </is>
      </c>
      <c r="L124" s="150" t="inlineStr">
        <is>
          <t>Venture Capital-Backed</t>
        </is>
      </c>
      <c r="M124" s="151" t="n">
        <v>2.89</v>
      </c>
      <c r="N124" s="152" t="inlineStr">
        <is>
          <t>Generating Revenue</t>
        </is>
      </c>
      <c r="O124" s="153" t="inlineStr">
        <is>
          <t>Privately Held (backing)</t>
        </is>
      </c>
      <c r="P124" s="154" t="inlineStr">
        <is>
          <t>Venture Capital</t>
        </is>
      </c>
      <c r="Q124" s="155" t="inlineStr">
        <is>
          <t>www.hibirdi.com</t>
        </is>
      </c>
      <c r="R124" s="156" t="n">
        <v>12.0</v>
      </c>
      <c r="S124" s="157" t="inlineStr">
        <is>
          <t/>
        </is>
      </c>
      <c r="T124" s="158" t="inlineStr">
        <is>
          <t/>
        </is>
      </c>
      <c r="U124" s="159" t="n">
        <v>2016.0</v>
      </c>
      <c r="V124" s="160" t="inlineStr">
        <is>
          <t/>
        </is>
      </c>
      <c r="W124" s="161" t="inlineStr">
        <is>
          <t/>
        </is>
      </c>
      <c r="X124" s="162" t="inlineStr">
        <is>
          <t/>
        </is>
      </c>
      <c r="Y124" s="163" t="inlineStr">
        <is>
          <t/>
        </is>
      </c>
      <c r="Z124" s="164" t="inlineStr">
        <is>
          <t/>
        </is>
      </c>
      <c r="AA124" s="165" t="inlineStr">
        <is>
          <t/>
        </is>
      </c>
      <c r="AB124" s="166" t="inlineStr">
        <is>
          <t/>
        </is>
      </c>
      <c r="AC124" s="167" t="inlineStr">
        <is>
          <t/>
        </is>
      </c>
      <c r="AD124" s="168" t="inlineStr">
        <is>
          <t/>
        </is>
      </c>
      <c r="AE124" s="169" t="inlineStr">
        <is>
          <t>150942-16P</t>
        </is>
      </c>
      <c r="AF124" s="170" t="inlineStr">
        <is>
          <t>Corentin Guillo</t>
        </is>
      </c>
      <c r="AG124" s="171" t="inlineStr">
        <is>
          <t>Co-Founder &amp; Chief Executive Officer</t>
        </is>
      </c>
      <c r="AH124" s="172" t="inlineStr">
        <is>
          <t>corentin@hibirdi.com</t>
        </is>
      </c>
      <c r="AI124" s="173" t="inlineStr">
        <is>
          <t>+44 (0)78 2578 8650</t>
        </is>
      </c>
      <c r="AJ124" s="174" t="inlineStr">
        <is>
          <t>Glasgow, United Kingdom</t>
        </is>
      </c>
      <c r="AK124" s="175" t="inlineStr">
        <is>
          <t>6th Floor Suite, Central Chambers</t>
        </is>
      </c>
      <c r="AL124" s="176" t="inlineStr">
        <is>
          <t>93 Hope Street</t>
        </is>
      </c>
      <c r="AM124" s="177" t="inlineStr">
        <is>
          <t>Glasgow</t>
        </is>
      </c>
      <c r="AN124" s="178" t="inlineStr">
        <is>
          <t>Scotland</t>
        </is>
      </c>
      <c r="AO124" s="179" t="inlineStr">
        <is>
          <t>G2 6LD</t>
        </is>
      </c>
      <c r="AP124" s="180" t="inlineStr">
        <is>
          <t>United Kingdom</t>
        </is>
      </c>
      <c r="AQ124" s="181" t="inlineStr">
        <is>
          <t/>
        </is>
      </c>
      <c r="AR124" s="182" t="inlineStr">
        <is>
          <t/>
        </is>
      </c>
      <c r="AS124" s="183" t="inlineStr">
        <is>
          <t>info@hibirdi.com</t>
        </is>
      </c>
      <c r="AT124" s="184" t="inlineStr">
        <is>
          <t>Europe</t>
        </is>
      </c>
      <c r="AU124" s="185" t="inlineStr">
        <is>
          <t>Western Europe</t>
        </is>
      </c>
      <c r="AV124" s="186" t="inlineStr">
        <is>
          <t>The company raised GBP 2 million of venture funding in a deal led by Accelerated Digital Ventures on November 17, 2017, putting the pre-money valuation at GBP 4.6 million. Concrete VC, Frontline Ventures, Satellite Application Catapult Services and Scottish Enterprise also participated in the round. The funds will be used to scale the company's product portfolio and continue to expand globally.</t>
        </is>
      </c>
      <c r="AW124" s="187" t="inlineStr">
        <is>
          <t>Accelerated Digital Ventures, Concrete VC, Frontline Ventures, Satellite Application Catapult Services, Scottish Enterprise</t>
        </is>
      </c>
      <c r="AX124" s="188" t="n">
        <v>5.0</v>
      </c>
      <c r="AY124" s="189" t="inlineStr">
        <is>
          <t/>
        </is>
      </c>
      <c r="AZ124" s="190" t="inlineStr">
        <is>
          <t/>
        </is>
      </c>
      <c r="BA124" s="191" t="inlineStr">
        <is>
          <t/>
        </is>
      </c>
      <c r="BB124" s="192" t="inlineStr">
        <is>
          <t>Accelerated Digital Ventures (www.accelerated.ventures), Concrete VC (www.concretevc.com), Frontline Ventures (www.frontline.vc), Satellite Application Catapult Services (sa.catapult.org.uk), Scottish Enterprise (www.scottish-enterprise.com)</t>
        </is>
      </c>
      <c r="BC124" s="193" t="inlineStr">
        <is>
          <t/>
        </is>
      </c>
      <c r="BD124" s="194" t="inlineStr">
        <is>
          <t/>
        </is>
      </c>
      <c r="BE124" s="195" t="inlineStr">
        <is>
          <t/>
        </is>
      </c>
      <c r="BF124" s="196" t="inlineStr">
        <is>
          <t/>
        </is>
      </c>
      <c r="BG124" s="197" t="n">
        <v>42521.0</v>
      </c>
      <c r="BH124" s="198" t="n">
        <v>0.64</v>
      </c>
      <c r="BI124" s="199" t="inlineStr">
        <is>
          <t>Actual</t>
        </is>
      </c>
      <c r="BJ124" s="200" t="n">
        <v>1.16</v>
      </c>
      <c r="BK124" s="201" t="inlineStr">
        <is>
          <t>Actual</t>
        </is>
      </c>
      <c r="BL124" s="202" t="inlineStr">
        <is>
          <t>Early Stage VC</t>
        </is>
      </c>
      <c r="BM124" s="203" t="inlineStr">
        <is>
          <t/>
        </is>
      </c>
      <c r="BN124" s="204" t="inlineStr">
        <is>
          <t/>
        </is>
      </c>
      <c r="BO124" s="205" t="inlineStr">
        <is>
          <t>Venture Capital</t>
        </is>
      </c>
      <c r="BP124" s="206" t="inlineStr">
        <is>
          <t/>
        </is>
      </c>
      <c r="BQ124" s="207" t="inlineStr">
        <is>
          <t/>
        </is>
      </c>
      <c r="BR124" s="208" t="inlineStr">
        <is>
          <t/>
        </is>
      </c>
      <c r="BS124" s="209" t="inlineStr">
        <is>
          <t>Completed</t>
        </is>
      </c>
      <c r="BT124" s="210" t="n">
        <v>43056.0</v>
      </c>
      <c r="BU124" s="211" t="n">
        <v>2.25</v>
      </c>
      <c r="BV124" s="212" t="inlineStr">
        <is>
          <t>Actual</t>
        </is>
      </c>
      <c r="BW124" s="213" t="n">
        <v>7.41</v>
      </c>
      <c r="BX124" s="214" t="inlineStr">
        <is>
          <t>Actual</t>
        </is>
      </c>
      <c r="BY124" s="215" t="inlineStr">
        <is>
          <t>Early Stage VC</t>
        </is>
      </c>
      <c r="BZ124" s="216" t="inlineStr">
        <is>
          <t/>
        </is>
      </c>
      <c r="CA124" s="217" t="inlineStr">
        <is>
          <t/>
        </is>
      </c>
      <c r="CB124" s="218" t="inlineStr">
        <is>
          <t>Venture Capital</t>
        </is>
      </c>
      <c r="CC124" s="219" t="inlineStr">
        <is>
          <t/>
        </is>
      </c>
      <c r="CD124" s="220" t="inlineStr">
        <is>
          <t/>
        </is>
      </c>
      <c r="CE124" s="221" t="inlineStr">
        <is>
          <t/>
        </is>
      </c>
      <c r="CF124" s="222" t="inlineStr">
        <is>
          <t>Completed</t>
        </is>
      </c>
      <c r="CG124" s="223" t="inlineStr">
        <is>
          <t>0,44%</t>
        </is>
      </c>
      <c r="CH124" s="224" t="inlineStr">
        <is>
          <t>91</t>
        </is>
      </c>
      <c r="CI124" s="225" t="inlineStr">
        <is>
          <t>0,09%</t>
        </is>
      </c>
      <c r="CJ124" s="226" t="inlineStr">
        <is>
          <t>26,06%</t>
        </is>
      </c>
      <c r="CK124" s="227" t="inlineStr">
        <is>
          <t>0,00%</t>
        </is>
      </c>
      <c r="CL124" s="228" t="inlineStr">
        <is>
          <t>28</t>
        </is>
      </c>
      <c r="CM124" s="229" t="inlineStr">
        <is>
          <t>0,88%</t>
        </is>
      </c>
      <c r="CN124" s="230" t="inlineStr">
        <is>
          <t>95</t>
        </is>
      </c>
      <c r="CO124" s="231" t="inlineStr">
        <is>
          <t>0,00%</t>
        </is>
      </c>
      <c r="CP124" s="232" t="inlineStr">
        <is>
          <t>37</t>
        </is>
      </c>
      <c r="CQ124" s="233" t="inlineStr">
        <is>
          <t>0,00%</t>
        </is>
      </c>
      <c r="CR124" s="234" t="inlineStr">
        <is>
          <t>20</t>
        </is>
      </c>
      <c r="CS124" s="235" t="inlineStr">
        <is>
          <t>0,00%</t>
        </is>
      </c>
      <c r="CT124" s="236" t="inlineStr">
        <is>
          <t>18</t>
        </is>
      </c>
      <c r="CU124" s="237" t="inlineStr">
        <is>
          <t>1,77%</t>
        </is>
      </c>
      <c r="CV124" s="238" t="inlineStr">
        <is>
          <t>99</t>
        </is>
      </c>
      <c r="CW124" s="239" t="inlineStr">
        <is>
          <t>0,57x</t>
        </is>
      </c>
      <c r="CX124" s="240" t="inlineStr">
        <is>
          <t>36</t>
        </is>
      </c>
      <c r="CY124" s="241" t="inlineStr">
        <is>
          <t>0,05x</t>
        </is>
      </c>
      <c r="CZ124" s="242" t="inlineStr">
        <is>
          <t>8,67%</t>
        </is>
      </c>
      <c r="DA124" s="243" t="inlineStr">
        <is>
          <t>0,60x</t>
        </is>
      </c>
      <c r="DB124" s="244" t="inlineStr">
        <is>
          <t>39</t>
        </is>
      </c>
      <c r="DC124" s="245" t="inlineStr">
        <is>
          <t>0,54x</t>
        </is>
      </c>
      <c r="DD124" s="246" t="inlineStr">
        <is>
          <t>37</t>
        </is>
      </c>
      <c r="DE124" s="247" t="inlineStr">
        <is>
          <t>0,26x</t>
        </is>
      </c>
      <c r="DF124" s="248" t="inlineStr">
        <is>
          <t>19</t>
        </is>
      </c>
      <c r="DG124" s="249" t="inlineStr">
        <is>
          <t>0,94x</t>
        </is>
      </c>
      <c r="DH124" s="250" t="inlineStr">
        <is>
          <t>49</t>
        </is>
      </c>
      <c r="DI124" s="251" t="inlineStr">
        <is>
          <t>0,04x</t>
        </is>
      </c>
      <c r="DJ124" s="252" t="inlineStr">
        <is>
          <t>7</t>
        </is>
      </c>
      <c r="DK124" s="253" t="inlineStr">
        <is>
          <t>1,04x</t>
        </is>
      </c>
      <c r="DL124" s="254" t="inlineStr">
        <is>
          <t>51</t>
        </is>
      </c>
      <c r="DM124" s="255" t="inlineStr">
        <is>
          <t>95</t>
        </is>
      </c>
      <c r="DN124" s="256" t="inlineStr">
        <is>
          <t>3</t>
        </is>
      </c>
      <c r="DO124" s="257" t="inlineStr">
        <is>
          <t>3,26%</t>
        </is>
      </c>
      <c r="DP124" s="258" t="inlineStr">
        <is>
          <t>28</t>
        </is>
      </c>
      <c r="DQ124" s="259" t="inlineStr">
        <is>
          <t>1</t>
        </is>
      </c>
      <c r="DR124" s="260" t="inlineStr">
        <is>
          <t>3,70%</t>
        </is>
      </c>
      <c r="DS124" s="261" t="inlineStr">
        <is>
          <t>31</t>
        </is>
      </c>
      <c r="DT124" s="262" t="inlineStr">
        <is>
          <t>3</t>
        </is>
      </c>
      <c r="DU124" s="263" t="inlineStr">
        <is>
          <t>10,71%</t>
        </is>
      </c>
      <c r="DV124" s="264" t="inlineStr">
        <is>
          <t>386</t>
        </is>
      </c>
      <c r="DW124" s="265" t="inlineStr">
        <is>
          <t>24</t>
        </is>
      </c>
      <c r="DX124" s="266" t="inlineStr">
        <is>
          <t>6,63%</t>
        </is>
      </c>
      <c r="DY124" s="267" t="inlineStr">
        <is>
          <t>PitchBook Research</t>
        </is>
      </c>
      <c r="DZ124" s="786">
        <f>HYPERLINK("https://my.pitchbook.com?c=168491-17", "View company online")</f>
      </c>
    </row>
    <row r="125">
      <c r="A125" s="9" t="inlineStr">
        <is>
          <t>168518-80</t>
        </is>
      </c>
      <c r="B125" s="10" t="inlineStr">
        <is>
          <t>Mojiworks</t>
        </is>
      </c>
      <c r="C125" s="11" t="inlineStr">
        <is>
          <t/>
        </is>
      </c>
      <c r="D125" s="12" t="inlineStr">
        <is>
          <t/>
        </is>
      </c>
      <c r="E125" s="13" t="inlineStr">
        <is>
          <t>168518-80</t>
        </is>
      </c>
      <c r="F125" s="14" t="inlineStr">
        <is>
          <t>Developer of multiplayer games for messaging platforms. The company's multiplayer HTML5 games for messaging platforms, including Apple's iMessage and Facebook's Instant Games services, can be played directly from messaging applications.</t>
        </is>
      </c>
      <c r="G125" s="15" t="inlineStr">
        <is>
          <t>Information Technology</t>
        </is>
      </c>
      <c r="H125" s="16" t="inlineStr">
        <is>
          <t>Software</t>
        </is>
      </c>
      <c r="I125" s="17" t="inlineStr">
        <is>
          <t>Entertainment Software</t>
        </is>
      </c>
      <c r="J125" s="18" t="inlineStr">
        <is>
          <t>Entertainment Software*; Movies, Music and Entertainment</t>
        </is>
      </c>
      <c r="K125" s="19" t="inlineStr">
        <is>
          <t>Mobile</t>
        </is>
      </c>
      <c r="L125" s="20" t="inlineStr">
        <is>
          <t>Venture Capital-Backed</t>
        </is>
      </c>
      <c r="M125" s="21" t="n">
        <v>2.93</v>
      </c>
      <c r="N125" s="22" t="inlineStr">
        <is>
          <t>Generating Revenue</t>
        </is>
      </c>
      <c r="O125" s="23" t="inlineStr">
        <is>
          <t>Privately Held (backing)</t>
        </is>
      </c>
      <c r="P125" s="24" t="inlineStr">
        <is>
          <t>Venture Capital</t>
        </is>
      </c>
      <c r="Q125" s="25" t="inlineStr">
        <is>
          <t>www.moji.works</t>
        </is>
      </c>
      <c r="R125" s="26" t="n">
        <v>10.0</v>
      </c>
      <c r="S125" s="27" t="inlineStr">
        <is>
          <t/>
        </is>
      </c>
      <c r="T125" s="28" t="inlineStr">
        <is>
          <t/>
        </is>
      </c>
      <c r="U125" s="29" t="n">
        <v>2016.0</v>
      </c>
      <c r="V125" s="30" t="inlineStr">
        <is>
          <t/>
        </is>
      </c>
      <c r="W125" s="31" t="inlineStr">
        <is>
          <t/>
        </is>
      </c>
      <c r="X125" s="32" t="inlineStr">
        <is>
          <t/>
        </is>
      </c>
      <c r="Y125" s="33" t="inlineStr">
        <is>
          <t/>
        </is>
      </c>
      <c r="Z125" s="34" t="inlineStr">
        <is>
          <t/>
        </is>
      </c>
      <c r="AA125" s="35" t="inlineStr">
        <is>
          <t/>
        </is>
      </c>
      <c r="AB125" s="36" t="inlineStr">
        <is>
          <t/>
        </is>
      </c>
      <c r="AC125" s="37" t="inlineStr">
        <is>
          <t/>
        </is>
      </c>
      <c r="AD125" s="38" t="inlineStr">
        <is>
          <t/>
        </is>
      </c>
      <c r="AE125" s="39" t="inlineStr">
        <is>
          <t>39835-81P</t>
        </is>
      </c>
      <c r="AF125" s="40" t="inlineStr">
        <is>
          <t>Matthew Wiggins</t>
        </is>
      </c>
      <c r="AG125" s="41" t="inlineStr">
        <is>
          <t>Co-Founder, Chief Executive Officer &amp; Board Member</t>
        </is>
      </c>
      <c r="AH125" s="42" t="inlineStr">
        <is>
          <t>matthew@moji.works</t>
        </is>
      </c>
      <c r="AI125" s="43" t="inlineStr">
        <is>
          <t/>
        </is>
      </c>
      <c r="AJ125" s="44" t="inlineStr">
        <is>
          <t>Guildford, United Kingdom</t>
        </is>
      </c>
      <c r="AK125" s="45" t="inlineStr">
        <is>
          <t/>
        </is>
      </c>
      <c r="AL125" s="46" t="inlineStr">
        <is>
          <t/>
        </is>
      </c>
      <c r="AM125" s="47" t="inlineStr">
        <is>
          <t>Guildford</t>
        </is>
      </c>
      <c r="AN125" s="48" t="inlineStr">
        <is>
          <t>England</t>
        </is>
      </c>
      <c r="AO125" s="49" t="inlineStr">
        <is>
          <t/>
        </is>
      </c>
      <c r="AP125" s="50" t="inlineStr">
        <is>
          <t>United Kingdom</t>
        </is>
      </c>
      <c r="AQ125" s="51" t="inlineStr">
        <is>
          <t/>
        </is>
      </c>
      <c r="AR125" s="52" t="inlineStr">
        <is>
          <t/>
        </is>
      </c>
      <c r="AS125" s="53" t="inlineStr">
        <is>
          <t>hello@moji.works</t>
        </is>
      </c>
      <c r="AT125" s="54" t="inlineStr">
        <is>
          <t>Europe</t>
        </is>
      </c>
      <c r="AU125" s="55" t="inlineStr">
        <is>
          <t>Western Europe</t>
        </is>
      </c>
      <c r="AV125" s="56" t="inlineStr">
        <is>
          <t>The company raised GBP 2.1 million of Series A venture funding in a deal led by Balderton Capital on November 7, 2017, putting the pre-money valuation at GBP 4.77 million. Lifeline Ventures and Sunstone Capital also participated in the round. The funds will be used to launch multiple new game projects, expand the company's Guildford headquarters from 10 to 25 staff in the next twelve months, develop additional game projects across a variety of other genres and experiment with new types of game interactions made possible by messaging apps.</t>
        </is>
      </c>
      <c r="AW125" s="57" t="inlineStr">
        <is>
          <t>Balderton Capital, Lifeline Ventures, Sunstone Capital</t>
        </is>
      </c>
      <c r="AX125" s="58" t="n">
        <v>3.0</v>
      </c>
      <c r="AY125" s="59" t="inlineStr">
        <is>
          <t/>
        </is>
      </c>
      <c r="AZ125" s="60" t="inlineStr">
        <is>
          <t/>
        </is>
      </c>
      <c r="BA125" s="61" t="inlineStr">
        <is>
          <t/>
        </is>
      </c>
      <c r="BB125" s="62" t="inlineStr">
        <is>
          <t>Balderton Capital (www.balderton.com), Lifeline Ventures (www.lifelineventures.com), Sunstone Capital (www.sunstone.eu)</t>
        </is>
      </c>
      <c r="BC125" s="63" t="inlineStr">
        <is>
          <t/>
        </is>
      </c>
      <c r="BD125" s="64" t="inlineStr">
        <is>
          <t/>
        </is>
      </c>
      <c r="BE125" s="65" t="inlineStr">
        <is>
          <t/>
        </is>
      </c>
      <c r="BF125" s="66" t="inlineStr">
        <is>
          <t>Sheridans (Legal Advisor)</t>
        </is>
      </c>
      <c r="BG125" s="67" t="n">
        <v>42703.0</v>
      </c>
      <c r="BH125" s="68" t="n">
        <v>0.58</v>
      </c>
      <c r="BI125" s="69" t="inlineStr">
        <is>
          <t>Actual</t>
        </is>
      </c>
      <c r="BJ125" s="70" t="n">
        <v>2.88</v>
      </c>
      <c r="BK125" s="71" t="inlineStr">
        <is>
          <t>Actual</t>
        </is>
      </c>
      <c r="BL125" s="72" t="inlineStr">
        <is>
          <t>Seed Round</t>
        </is>
      </c>
      <c r="BM125" s="73" t="inlineStr">
        <is>
          <t>Seed</t>
        </is>
      </c>
      <c r="BN125" s="74" t="inlineStr">
        <is>
          <t/>
        </is>
      </c>
      <c r="BO125" s="75" t="inlineStr">
        <is>
          <t>Venture Capital</t>
        </is>
      </c>
      <c r="BP125" s="76" t="inlineStr">
        <is>
          <t/>
        </is>
      </c>
      <c r="BQ125" s="77" t="inlineStr">
        <is>
          <t/>
        </is>
      </c>
      <c r="BR125" s="78" t="inlineStr">
        <is>
          <t/>
        </is>
      </c>
      <c r="BS125" s="79" t="inlineStr">
        <is>
          <t>Completed</t>
        </is>
      </c>
      <c r="BT125" s="80" t="n">
        <v>43046.0</v>
      </c>
      <c r="BU125" s="81" t="n">
        <v>2.36</v>
      </c>
      <c r="BV125" s="82" t="inlineStr">
        <is>
          <t>Actual</t>
        </is>
      </c>
      <c r="BW125" s="83" t="n">
        <v>7.72</v>
      </c>
      <c r="BX125" s="84" t="inlineStr">
        <is>
          <t>Actual</t>
        </is>
      </c>
      <c r="BY125" s="85" t="inlineStr">
        <is>
          <t>Early Stage VC</t>
        </is>
      </c>
      <c r="BZ125" s="86" t="inlineStr">
        <is>
          <t>Series A</t>
        </is>
      </c>
      <c r="CA125" s="87" t="inlineStr">
        <is>
          <t/>
        </is>
      </c>
      <c r="CB125" s="88" t="inlineStr">
        <is>
          <t>Venture Capital</t>
        </is>
      </c>
      <c r="CC125" s="89" t="inlineStr">
        <is>
          <t/>
        </is>
      </c>
      <c r="CD125" s="90" t="inlineStr">
        <is>
          <t/>
        </is>
      </c>
      <c r="CE125" s="91" t="inlineStr">
        <is>
          <t/>
        </is>
      </c>
      <c r="CF125" s="92" t="inlineStr">
        <is>
          <t>Completed</t>
        </is>
      </c>
      <c r="CG125" s="93" t="inlineStr">
        <is>
          <t>0,56%</t>
        </is>
      </c>
      <c r="CH125" s="94" t="inlineStr">
        <is>
          <t>92</t>
        </is>
      </c>
      <c r="CI125" s="95" t="inlineStr">
        <is>
          <t>0,00%</t>
        </is>
      </c>
      <c r="CJ125" s="96" t="inlineStr">
        <is>
          <t>0,00%</t>
        </is>
      </c>
      <c r="CK125" s="97" t="inlineStr">
        <is>
          <t>0,00%</t>
        </is>
      </c>
      <c r="CL125" s="98" t="inlineStr">
        <is>
          <t>28</t>
        </is>
      </c>
      <c r="CM125" s="99" t="inlineStr">
        <is>
          <t>0,00%</t>
        </is>
      </c>
      <c r="CN125" s="100" t="inlineStr">
        <is>
          <t>20</t>
        </is>
      </c>
      <c r="CO125" s="101" t="inlineStr">
        <is>
          <t>0,00%</t>
        </is>
      </c>
      <c r="CP125" s="102" t="inlineStr">
        <is>
          <t>37</t>
        </is>
      </c>
      <c r="CQ125" s="103" t="inlineStr">
        <is>
          <t>0,00%</t>
        </is>
      </c>
      <c r="CR125" s="104" t="inlineStr">
        <is>
          <t>20</t>
        </is>
      </c>
      <c r="CS125" s="105" t="inlineStr">
        <is>
          <t/>
        </is>
      </c>
      <c r="CT125" s="106" t="inlineStr">
        <is>
          <t/>
        </is>
      </c>
      <c r="CU125" s="107" t="inlineStr">
        <is>
          <t>0,00%</t>
        </is>
      </c>
      <c r="CV125" s="108" t="inlineStr">
        <is>
          <t>21</t>
        </is>
      </c>
      <c r="CW125" s="109" t="inlineStr">
        <is>
          <t>2,23x</t>
        </is>
      </c>
      <c r="CX125" s="110" t="inlineStr">
        <is>
          <t>67</t>
        </is>
      </c>
      <c r="CY125" s="111" t="inlineStr">
        <is>
          <t>0,07x</t>
        </is>
      </c>
      <c r="CZ125" s="112" t="inlineStr">
        <is>
          <t>3,38%</t>
        </is>
      </c>
      <c r="DA125" s="113" t="inlineStr">
        <is>
          <t>1,71x</t>
        </is>
      </c>
      <c r="DB125" s="114" t="inlineStr">
        <is>
          <t>63</t>
        </is>
      </c>
      <c r="DC125" s="115" t="inlineStr">
        <is>
          <t>0,20x</t>
        </is>
      </c>
      <c r="DD125" s="116" t="inlineStr">
        <is>
          <t>21</t>
        </is>
      </c>
      <c r="DE125" s="117" t="inlineStr">
        <is>
          <t>0,88x</t>
        </is>
      </c>
      <c r="DF125" s="118" t="inlineStr">
        <is>
          <t>47</t>
        </is>
      </c>
      <c r="DG125" s="119" t="inlineStr">
        <is>
          <t>2,53x</t>
        </is>
      </c>
      <c r="DH125" s="120" t="inlineStr">
        <is>
          <t>69</t>
        </is>
      </c>
      <c r="DI125" s="121" t="inlineStr">
        <is>
          <t/>
        </is>
      </c>
      <c r="DJ125" s="122" t="inlineStr">
        <is>
          <t/>
        </is>
      </c>
      <c r="DK125" s="123" t="inlineStr">
        <is>
          <t>0,20x</t>
        </is>
      </c>
      <c r="DL125" s="124" t="inlineStr">
        <is>
          <t>24</t>
        </is>
      </c>
      <c r="DM125" s="125" t="inlineStr">
        <is>
          <t>325</t>
        </is>
      </c>
      <c r="DN125" s="126" t="inlineStr">
        <is>
          <t>9</t>
        </is>
      </c>
      <c r="DO125" s="127" t="inlineStr">
        <is>
          <t>2,85%</t>
        </is>
      </c>
      <c r="DP125" s="128" t="inlineStr">
        <is>
          <t>51</t>
        </is>
      </c>
      <c r="DQ125" s="129" t="inlineStr">
        <is>
          <t>2</t>
        </is>
      </c>
      <c r="DR125" s="130" t="inlineStr">
        <is>
          <t>4,08%</t>
        </is>
      </c>
      <c r="DS125" s="131" t="inlineStr">
        <is>
          <t>90</t>
        </is>
      </c>
      <c r="DT125" s="132" t="inlineStr">
        <is>
          <t>5</t>
        </is>
      </c>
      <c r="DU125" s="133" t="inlineStr">
        <is>
          <t>5,88%</t>
        </is>
      </c>
      <c r="DV125" s="134" t="inlineStr">
        <is>
          <t>72</t>
        </is>
      </c>
      <c r="DW125" s="135" t="inlineStr">
        <is>
          <t>4</t>
        </is>
      </c>
      <c r="DX125" s="136" t="inlineStr">
        <is>
          <t>5,88%</t>
        </is>
      </c>
      <c r="DY125" s="137" t="inlineStr">
        <is>
          <t>PitchBook Research</t>
        </is>
      </c>
      <c r="DZ125" s="785">
        <f>HYPERLINK("https://my.pitchbook.com?c=168518-80", "View company online")</f>
      </c>
    </row>
    <row r="126">
      <c r="A126" s="139" t="inlineStr">
        <is>
          <t>170401-24</t>
        </is>
      </c>
      <c r="B126" s="140" t="inlineStr">
        <is>
          <t>Blend Media</t>
        </is>
      </c>
      <c r="C126" s="141" t="inlineStr">
        <is>
          <t/>
        </is>
      </c>
      <c r="D126" s="142" t="inlineStr">
        <is>
          <t/>
        </is>
      </c>
      <c r="E126" s="143" t="inlineStr">
        <is>
          <t>170401-24</t>
        </is>
      </c>
      <c r="F126" s="144" t="inlineStr">
        <is>
          <t>Developer of 360/VR video platform designed to help creators to make money from their existing 360/VR content. The company's 360 video platform reduces the time, costs and risk involved in creating and licensing premium quality immersive content and also provides revenue and networking tools for creators of 360 Video/VR content around the world enabling creators to generate income through their large global network of brands, agencies and bublishers wanting to produce new 360/VR content.</t>
        </is>
      </c>
      <c r="G126" s="145" t="inlineStr">
        <is>
          <t>Business Products and Services (B2B)</t>
        </is>
      </c>
      <c r="H126" s="146" t="inlineStr">
        <is>
          <t>Commercial Services</t>
        </is>
      </c>
      <c r="I126" s="147" t="inlineStr">
        <is>
          <t>Media and Information Services (B2B)</t>
        </is>
      </c>
      <c r="J126" s="148" t="inlineStr">
        <is>
          <t>Media and Information Services (B2B)*; Application Software; Entertainment Software</t>
        </is>
      </c>
      <c r="K126" s="149" t="inlineStr">
        <is>
          <t>Virtual Reality</t>
        </is>
      </c>
      <c r="L126" s="150" t="inlineStr">
        <is>
          <t>Venture Capital-Backed</t>
        </is>
      </c>
      <c r="M126" s="151" t="n">
        <v>2.93</v>
      </c>
      <c r="N126" s="152" t="inlineStr">
        <is>
          <t>Generating Revenue</t>
        </is>
      </c>
      <c r="O126" s="153" t="inlineStr">
        <is>
          <t>Privately Held (backing)</t>
        </is>
      </c>
      <c r="P126" s="154" t="inlineStr">
        <is>
          <t>Venture Capital</t>
        </is>
      </c>
      <c r="Q126" s="155" t="inlineStr">
        <is>
          <t>www.blend.media</t>
        </is>
      </c>
      <c r="R126" s="156" t="inlineStr">
        <is>
          <t/>
        </is>
      </c>
      <c r="S126" s="157" t="inlineStr">
        <is>
          <t/>
        </is>
      </c>
      <c r="T126" s="158" t="inlineStr">
        <is>
          <t/>
        </is>
      </c>
      <c r="U126" s="159" t="n">
        <v>2016.0</v>
      </c>
      <c r="V126" s="160" t="inlineStr">
        <is>
          <t/>
        </is>
      </c>
      <c r="W126" s="161" t="inlineStr">
        <is>
          <t/>
        </is>
      </c>
      <c r="X126" s="162" t="inlineStr">
        <is>
          <t/>
        </is>
      </c>
      <c r="Y126" s="163" t="inlineStr">
        <is>
          <t/>
        </is>
      </c>
      <c r="Z126" s="164" t="inlineStr">
        <is>
          <t/>
        </is>
      </c>
      <c r="AA126" s="165" t="inlineStr">
        <is>
          <t/>
        </is>
      </c>
      <c r="AB126" s="166" t="inlineStr">
        <is>
          <t/>
        </is>
      </c>
      <c r="AC126" s="167" t="inlineStr">
        <is>
          <t/>
        </is>
      </c>
      <c r="AD126" s="168" t="inlineStr">
        <is>
          <t/>
        </is>
      </c>
      <c r="AE126" s="169" t="inlineStr">
        <is>
          <t>113970-52P</t>
        </is>
      </c>
      <c r="AF126" s="170" t="inlineStr">
        <is>
          <t>Christopher Helm</t>
        </is>
      </c>
      <c r="AG126" s="171" t="inlineStr">
        <is>
          <t>Co-Founder &amp; Chief Operating Officer</t>
        </is>
      </c>
      <c r="AH126" s="172" t="inlineStr">
        <is>
          <t>chris@blend.media</t>
        </is>
      </c>
      <c r="AI126" s="173" t="inlineStr">
        <is>
          <t/>
        </is>
      </c>
      <c r="AJ126" s="174" t="inlineStr">
        <is>
          <t>London, United Kingdom</t>
        </is>
      </c>
      <c r="AK126" s="175" t="inlineStr">
        <is>
          <t>5 - 7 Cranwood Street</t>
        </is>
      </c>
      <c r="AL126" s="176" t="inlineStr">
        <is>
          <t>Finsgate</t>
        </is>
      </c>
      <c r="AM126" s="177" t="inlineStr">
        <is>
          <t>London</t>
        </is>
      </c>
      <c r="AN126" s="178" t="inlineStr">
        <is>
          <t>England</t>
        </is>
      </c>
      <c r="AO126" s="179" t="inlineStr">
        <is>
          <t>EC1V 9EE</t>
        </is>
      </c>
      <c r="AP126" s="180" t="inlineStr">
        <is>
          <t>United Kingdom</t>
        </is>
      </c>
      <c r="AQ126" s="181" t="inlineStr">
        <is>
          <t/>
        </is>
      </c>
      <c r="AR126" s="182" t="inlineStr">
        <is>
          <t/>
        </is>
      </c>
      <c r="AS126" s="183" t="inlineStr">
        <is>
          <t>hello@blend.media</t>
        </is>
      </c>
      <c r="AT126" s="184" t="inlineStr">
        <is>
          <t>Europe</t>
        </is>
      </c>
      <c r="AU126" s="185" t="inlineStr">
        <is>
          <t>Western Europe</t>
        </is>
      </c>
      <c r="AV126" s="186" t="inlineStr">
        <is>
          <t>The company raised GBP 1.53 million of venture funding from Hambro Perks and I2BF Global Ventures on September 29, 2017, putting the pre-money valuation at GBP 9 million. Paul Cooper, Solly Solomou, Ben Donovan and Mark Browning also participated. The company intends to use the funding to develop its platform and expand its technical, sales and marketing teams. Previously, the company raised GBP 890,000 of seed funding from Mark Browning, Hambro Perks, Paul Cooper and Chris Waters on February 9, 2017, putting the company's pre-money valuation at GBP 3.15 million.</t>
        </is>
      </c>
      <c r="AW126" s="187" t="inlineStr">
        <is>
          <t>Alex Solomou, Bartle Bogle Hegarty, Bell Pottinger, Ben Donovan, Chris Waters, David Becker, Hambro Perks, I2BF Global Ventures, Mark Browning, Paul Cooper, Solly Solomou</t>
        </is>
      </c>
      <c r="AX126" s="188" t="n">
        <v>11.0</v>
      </c>
      <c r="AY126" s="189" t="inlineStr">
        <is>
          <t/>
        </is>
      </c>
      <c r="AZ126" s="190" t="inlineStr">
        <is>
          <t/>
        </is>
      </c>
      <c r="BA126" s="191" t="inlineStr">
        <is>
          <t/>
        </is>
      </c>
      <c r="BB126" s="192" t="inlineStr">
        <is>
          <t>Bartle Bogle Hegarty (www.bartleboglehegarty.com), Bell Pottinger (www.bellpottinger.com), Hambro Perks (www.hambroperks.com), I2BF Global Ventures (www.i2bf.com)</t>
        </is>
      </c>
      <c r="BC126" s="193" t="inlineStr">
        <is>
          <t/>
        </is>
      </c>
      <c r="BD126" s="194" t="inlineStr">
        <is>
          <t/>
        </is>
      </c>
      <c r="BE126" s="195" t="inlineStr">
        <is>
          <t/>
        </is>
      </c>
      <c r="BF126" s="196" t="inlineStr">
        <is>
          <t>Lewis Silkin (Legal Advisor)</t>
        </is>
      </c>
      <c r="BG126" s="197" t="n">
        <v>42555.0</v>
      </c>
      <c r="BH126" s="198" t="n">
        <v>0.18</v>
      </c>
      <c r="BI126" s="199" t="inlineStr">
        <is>
          <t>Actual</t>
        </is>
      </c>
      <c r="BJ126" s="200" t="n">
        <v>1.61</v>
      </c>
      <c r="BK126" s="201" t="inlineStr">
        <is>
          <t>Actual</t>
        </is>
      </c>
      <c r="BL126" s="202" t="inlineStr">
        <is>
          <t>Angel (individual)</t>
        </is>
      </c>
      <c r="BM126" s="203" t="inlineStr">
        <is>
          <t>Angel</t>
        </is>
      </c>
      <c r="BN126" s="204" t="inlineStr">
        <is>
          <t/>
        </is>
      </c>
      <c r="BO126" s="205" t="inlineStr">
        <is>
          <t>Individual</t>
        </is>
      </c>
      <c r="BP126" s="206" t="inlineStr">
        <is>
          <t/>
        </is>
      </c>
      <c r="BQ126" s="207" t="inlineStr">
        <is>
          <t/>
        </is>
      </c>
      <c r="BR126" s="208" t="inlineStr">
        <is>
          <t/>
        </is>
      </c>
      <c r="BS126" s="209" t="inlineStr">
        <is>
          <t>Completed</t>
        </is>
      </c>
      <c r="BT126" s="210" t="n">
        <v>43007.0</v>
      </c>
      <c r="BU126" s="211" t="n">
        <v>1.71</v>
      </c>
      <c r="BV126" s="212" t="inlineStr">
        <is>
          <t>Actual</t>
        </is>
      </c>
      <c r="BW126" s="213" t="n">
        <v>11.75</v>
      </c>
      <c r="BX126" s="214" t="inlineStr">
        <is>
          <t>Actual</t>
        </is>
      </c>
      <c r="BY126" s="215" t="inlineStr">
        <is>
          <t>Early Stage VC</t>
        </is>
      </c>
      <c r="BZ126" s="216" t="inlineStr">
        <is>
          <t/>
        </is>
      </c>
      <c r="CA126" s="217" t="inlineStr">
        <is>
          <t/>
        </is>
      </c>
      <c r="CB126" s="218" t="inlineStr">
        <is>
          <t>Venture Capital</t>
        </is>
      </c>
      <c r="CC126" s="219" t="inlineStr">
        <is>
          <t/>
        </is>
      </c>
      <c r="CD126" s="220" t="inlineStr">
        <is>
          <t/>
        </is>
      </c>
      <c r="CE126" s="221" t="inlineStr">
        <is>
          <t/>
        </is>
      </c>
      <c r="CF126" s="222" t="inlineStr">
        <is>
          <t>Completed</t>
        </is>
      </c>
      <c r="CG126" s="223" t="inlineStr">
        <is>
          <t>-0,91%</t>
        </is>
      </c>
      <c r="CH126" s="224" t="inlineStr">
        <is>
          <t>15</t>
        </is>
      </c>
      <c r="CI126" s="225" t="inlineStr">
        <is>
          <t>-0,01%</t>
        </is>
      </c>
      <c r="CJ126" s="226" t="inlineStr">
        <is>
          <t>-1,09%</t>
        </is>
      </c>
      <c r="CK126" s="227" t="inlineStr">
        <is>
          <t>-2,08%</t>
        </is>
      </c>
      <c r="CL126" s="228" t="inlineStr">
        <is>
          <t>14</t>
        </is>
      </c>
      <c r="CM126" s="229" t="inlineStr">
        <is>
          <t>0,26%</t>
        </is>
      </c>
      <c r="CN126" s="230" t="inlineStr">
        <is>
          <t>77</t>
        </is>
      </c>
      <c r="CO126" s="231" t="inlineStr">
        <is>
          <t>-4,16%</t>
        </is>
      </c>
      <c r="CP126" s="232" t="inlineStr">
        <is>
          <t>23</t>
        </is>
      </c>
      <c r="CQ126" s="233" t="inlineStr">
        <is>
          <t>0,00%</t>
        </is>
      </c>
      <c r="CR126" s="234" t="inlineStr">
        <is>
          <t>20</t>
        </is>
      </c>
      <c r="CS126" s="235" t="inlineStr">
        <is>
          <t>0,21%</t>
        </is>
      </c>
      <c r="CT126" s="236" t="inlineStr">
        <is>
          <t>70</t>
        </is>
      </c>
      <c r="CU126" s="237" t="inlineStr">
        <is>
          <t>0,31%</t>
        </is>
      </c>
      <c r="CV126" s="238" t="inlineStr">
        <is>
          <t>84</t>
        </is>
      </c>
      <c r="CW126" s="239" t="inlineStr">
        <is>
          <t>246,25x</t>
        </is>
      </c>
      <c r="CX126" s="240" t="inlineStr">
        <is>
          <t>99</t>
        </is>
      </c>
      <c r="CY126" s="241" t="inlineStr">
        <is>
          <t>-0,98x</t>
        </is>
      </c>
      <c r="CZ126" s="242" t="inlineStr">
        <is>
          <t>-0,40%</t>
        </is>
      </c>
      <c r="DA126" s="243" t="inlineStr">
        <is>
          <t>3,05x</t>
        </is>
      </c>
      <c r="DB126" s="244" t="inlineStr">
        <is>
          <t>74</t>
        </is>
      </c>
      <c r="DC126" s="245" t="inlineStr">
        <is>
          <t>489,44x</t>
        </is>
      </c>
      <c r="DD126" s="246" t="inlineStr">
        <is>
          <t>99</t>
        </is>
      </c>
      <c r="DE126" s="247" t="inlineStr">
        <is>
          <t>5,42x</t>
        </is>
      </c>
      <c r="DF126" s="248" t="inlineStr">
        <is>
          <t>82</t>
        </is>
      </c>
      <c r="DG126" s="249" t="inlineStr">
        <is>
          <t>0,69x</t>
        </is>
      </c>
      <c r="DH126" s="250" t="inlineStr">
        <is>
          <t>42</t>
        </is>
      </c>
      <c r="DI126" s="251" t="inlineStr">
        <is>
          <t>965,21x</t>
        </is>
      </c>
      <c r="DJ126" s="252" t="inlineStr">
        <is>
          <t>99</t>
        </is>
      </c>
      <c r="DK126" s="253" t="inlineStr">
        <is>
          <t>13,68x</t>
        </is>
      </c>
      <c r="DL126" s="254" t="inlineStr">
        <is>
          <t>90</t>
        </is>
      </c>
      <c r="DM126" s="255" t="inlineStr">
        <is>
          <t>1.972</t>
        </is>
      </c>
      <c r="DN126" s="256" t="inlineStr">
        <is>
          <t>183</t>
        </is>
      </c>
      <c r="DO126" s="257" t="inlineStr">
        <is>
          <t>10,23%</t>
        </is>
      </c>
      <c r="DP126" s="258" t="inlineStr">
        <is>
          <t>763.820</t>
        </is>
      </c>
      <c r="DQ126" s="259" t="inlineStr">
        <is>
          <t>3.111</t>
        </is>
      </c>
      <c r="DR126" s="260" t="inlineStr">
        <is>
          <t>0,41%</t>
        </is>
      </c>
      <c r="DS126" s="261" t="inlineStr">
        <is>
          <t>16</t>
        </is>
      </c>
      <c r="DT126" s="262" t="inlineStr">
        <is>
          <t>11</t>
        </is>
      </c>
      <c r="DU126" s="263" t="inlineStr">
        <is>
          <t>220,00%</t>
        </is>
      </c>
      <c r="DV126" s="264" t="inlineStr">
        <is>
          <t>5.134</t>
        </is>
      </c>
      <c r="DW126" s="265" t="inlineStr">
        <is>
          <t>-7</t>
        </is>
      </c>
      <c r="DX126" s="266" t="inlineStr">
        <is>
          <t>-0,14%</t>
        </is>
      </c>
      <c r="DY126" s="267" t="inlineStr">
        <is>
          <t>PitchBook Research</t>
        </is>
      </c>
      <c r="DZ126" s="786">
        <f>HYPERLINK("https://my.pitchbook.com?c=170401-24", "View company online")</f>
      </c>
    </row>
    <row r="127">
      <c r="A127" s="9" t="inlineStr">
        <is>
          <t>168879-34</t>
        </is>
      </c>
      <c r="B127" s="10" t="inlineStr">
        <is>
          <t>Douleutaras</t>
        </is>
      </c>
      <c r="C127" s="11" t="inlineStr">
        <is>
          <t/>
        </is>
      </c>
      <c r="D127" s="12" t="inlineStr">
        <is>
          <t/>
        </is>
      </c>
      <c r="E127" s="13" t="inlineStr">
        <is>
          <t>168879-34</t>
        </is>
      </c>
      <c r="F127" s="14" t="inlineStr">
        <is>
          <t>Provider of an online platform intended to help people to find the right professional for any home service they need. The company's an online platform covers the needs of users in a wide range of professional work like repairs of domestic appliances and electronics, electrical and plumbing contractors, renovations and technical work, legal and accounting services, photography, translation and online services, enabling freelancers post their professional profiles and can accept bids for work they are interested in.</t>
        </is>
      </c>
      <c r="G127" s="15" t="inlineStr">
        <is>
          <t>Consumer Products and Services (B2C)</t>
        </is>
      </c>
      <c r="H127" s="16" t="inlineStr">
        <is>
          <t>Media</t>
        </is>
      </c>
      <c r="I127" s="17" t="inlineStr">
        <is>
          <t>Information Services (B2C)</t>
        </is>
      </c>
      <c r="J127" s="18" t="inlineStr">
        <is>
          <t>Information Services (B2C)*; Application Software; Social/Platform Software</t>
        </is>
      </c>
      <c r="K127" s="19" t="inlineStr">
        <is>
          <t>Mobile</t>
        </is>
      </c>
      <c r="L127" s="20" t="inlineStr">
        <is>
          <t>Venture Capital-Backed</t>
        </is>
      </c>
      <c r="M127" s="21" t="n">
        <v>2.96</v>
      </c>
      <c r="N127" s="22" t="inlineStr">
        <is>
          <t>Generating Revenue</t>
        </is>
      </c>
      <c r="O127" s="23" t="inlineStr">
        <is>
          <t>Privately Held (backing)</t>
        </is>
      </c>
      <c r="P127" s="24" t="inlineStr">
        <is>
          <t>Venture Capital</t>
        </is>
      </c>
      <c r="Q127" s="25" t="inlineStr">
        <is>
          <t>www.douleutaras.gr</t>
        </is>
      </c>
      <c r="R127" s="26" t="n">
        <v>31.0</v>
      </c>
      <c r="S127" s="27" t="inlineStr">
        <is>
          <t/>
        </is>
      </c>
      <c r="T127" s="28" t="inlineStr">
        <is>
          <t/>
        </is>
      </c>
      <c r="U127" s="29" t="n">
        <v>2013.0</v>
      </c>
      <c r="V127" s="30" t="inlineStr">
        <is>
          <t/>
        </is>
      </c>
      <c r="W127" s="31" t="inlineStr">
        <is>
          <t/>
        </is>
      </c>
      <c r="X127" s="32" t="inlineStr">
        <is>
          <t/>
        </is>
      </c>
      <c r="Y127" s="33" t="inlineStr">
        <is>
          <t/>
        </is>
      </c>
      <c r="Z127" s="34" t="inlineStr">
        <is>
          <t/>
        </is>
      </c>
      <c r="AA127" s="35" t="inlineStr">
        <is>
          <t/>
        </is>
      </c>
      <c r="AB127" s="36" t="inlineStr">
        <is>
          <t/>
        </is>
      </c>
      <c r="AC127" s="37" t="inlineStr">
        <is>
          <t/>
        </is>
      </c>
      <c r="AD127" s="38" t="inlineStr">
        <is>
          <t/>
        </is>
      </c>
      <c r="AE127" s="39" t="inlineStr">
        <is>
          <t>152121-16P</t>
        </is>
      </c>
      <c r="AF127" s="40" t="inlineStr">
        <is>
          <t>Andreas Grammatis</t>
        </is>
      </c>
      <c r="AG127" s="41" t="inlineStr">
        <is>
          <t>Co-Founder, Chief Executive Officer &amp; General Director</t>
        </is>
      </c>
      <c r="AH127" s="42" t="inlineStr">
        <is>
          <t>andreas@douleutaras.gr</t>
        </is>
      </c>
      <c r="AI127" s="43" t="inlineStr">
        <is>
          <t/>
        </is>
      </c>
      <c r="AJ127" s="44" t="inlineStr">
        <is>
          <t>London, United Kingdom</t>
        </is>
      </c>
      <c r="AK127" s="45" t="inlineStr">
        <is>
          <t>21 Aylmer Parade</t>
        </is>
      </c>
      <c r="AL127" s="46" t="inlineStr">
        <is>
          <t>Aylmer Road</t>
        </is>
      </c>
      <c r="AM127" s="47" t="inlineStr">
        <is>
          <t>London</t>
        </is>
      </c>
      <c r="AN127" s="48" t="inlineStr">
        <is>
          <t>England</t>
        </is>
      </c>
      <c r="AO127" s="49" t="inlineStr">
        <is>
          <t>N2 0AT</t>
        </is>
      </c>
      <c r="AP127" s="50" t="inlineStr">
        <is>
          <t>United Kingdom</t>
        </is>
      </c>
      <c r="AQ127" s="51" t="inlineStr">
        <is>
          <t/>
        </is>
      </c>
      <c r="AR127" s="52" t="inlineStr">
        <is>
          <t/>
        </is>
      </c>
      <c r="AS127" s="53" t="inlineStr">
        <is>
          <t>info@douleutaras.com</t>
        </is>
      </c>
      <c r="AT127" s="54" t="inlineStr">
        <is>
          <t>Europe</t>
        </is>
      </c>
      <c r="AU127" s="55" t="inlineStr">
        <is>
          <t>Western Europe</t>
        </is>
      </c>
      <c r="AV127" s="56" t="inlineStr">
        <is>
          <t>The company raised EUR 1.8 million of venture funding from VentureFriends, PJ Tech Catalyst and AddVenture on November 6, 2017. The company intends to use the funds to expand in Greece following Thessaloniki, Patras and Heraklion and abroad. Previously, company raised GBP 729,000 of venture funding from undisclosed investors on November 15, 2016, putting the pre-money valuation at GBP 3.5 million. The second round of financing will be used primarily to expand the company in Eastern Europe and possibly in Romania.</t>
        </is>
      </c>
      <c r="AW127" s="57" t="inlineStr">
        <is>
          <t>AddVenture, Apostolos Apostolakis, Jason Manolopoulou, PJ Tech Catalyst, VentureFriends</t>
        </is>
      </c>
      <c r="AX127" s="58" t="n">
        <v>5.0</v>
      </c>
      <c r="AY127" s="59" t="inlineStr">
        <is>
          <t/>
        </is>
      </c>
      <c r="AZ127" s="60" t="inlineStr">
        <is>
          <t/>
        </is>
      </c>
      <c r="BA127" s="61" t="inlineStr">
        <is>
          <t/>
        </is>
      </c>
      <c r="BB127" s="62" t="inlineStr">
        <is>
          <t>AddVenture (www.addventure.vc), PJ Tech Catalyst (www.pjtechcatalyst.com), VentureFriends (www.venturefriends.vc)</t>
        </is>
      </c>
      <c r="BC127" s="63" t="inlineStr">
        <is>
          <t/>
        </is>
      </c>
      <c r="BD127" s="64" t="inlineStr">
        <is>
          <t/>
        </is>
      </c>
      <c r="BE127" s="65" t="inlineStr">
        <is>
          <t/>
        </is>
      </c>
      <c r="BF127" s="66" t="inlineStr">
        <is>
          <t/>
        </is>
      </c>
      <c r="BG127" s="67" t="n">
        <v>42408.0</v>
      </c>
      <c r="BH127" s="68" t="n">
        <v>0.32</v>
      </c>
      <c r="BI127" s="69" t="inlineStr">
        <is>
          <t>Actual</t>
        </is>
      </c>
      <c r="BJ127" s="70" t="n">
        <v>2.03</v>
      </c>
      <c r="BK127" s="71" t="inlineStr">
        <is>
          <t>Actual</t>
        </is>
      </c>
      <c r="BL127" s="72" t="inlineStr">
        <is>
          <t>Early Stage VC</t>
        </is>
      </c>
      <c r="BM127" s="73" t="inlineStr">
        <is>
          <t/>
        </is>
      </c>
      <c r="BN127" s="74" t="inlineStr">
        <is>
          <t/>
        </is>
      </c>
      <c r="BO127" s="75" t="inlineStr">
        <is>
          <t>Venture Capital</t>
        </is>
      </c>
      <c r="BP127" s="76" t="inlineStr">
        <is>
          <t/>
        </is>
      </c>
      <c r="BQ127" s="77" t="inlineStr">
        <is>
          <t/>
        </is>
      </c>
      <c r="BR127" s="78" t="inlineStr">
        <is>
          <t/>
        </is>
      </c>
      <c r="BS127" s="79" t="inlineStr">
        <is>
          <t>Completed</t>
        </is>
      </c>
      <c r="BT127" s="80" t="n">
        <v>43045.0</v>
      </c>
      <c r="BU127" s="81" t="n">
        <v>1.8</v>
      </c>
      <c r="BV127" s="82" t="inlineStr">
        <is>
          <t>Actual</t>
        </is>
      </c>
      <c r="BW127" s="83" t="inlineStr">
        <is>
          <t/>
        </is>
      </c>
      <c r="BX127" s="84" t="inlineStr">
        <is>
          <t/>
        </is>
      </c>
      <c r="BY127" s="85" t="inlineStr">
        <is>
          <t>Early Stage VC</t>
        </is>
      </c>
      <c r="BZ127" s="86" t="inlineStr">
        <is>
          <t/>
        </is>
      </c>
      <c r="CA127" s="87" t="inlineStr">
        <is>
          <t/>
        </is>
      </c>
      <c r="CB127" s="88" t="inlineStr">
        <is>
          <t>Venture Capital</t>
        </is>
      </c>
      <c r="CC127" s="89" t="inlineStr">
        <is>
          <t/>
        </is>
      </c>
      <c r="CD127" s="90" t="inlineStr">
        <is>
          <t/>
        </is>
      </c>
      <c r="CE127" s="91" t="inlineStr">
        <is>
          <t/>
        </is>
      </c>
      <c r="CF127" s="92" t="inlineStr">
        <is>
          <t>Completed</t>
        </is>
      </c>
      <c r="CG127" s="93" t="inlineStr">
        <is>
          <t>-0,58%</t>
        </is>
      </c>
      <c r="CH127" s="94" t="inlineStr">
        <is>
          <t>18</t>
        </is>
      </c>
      <c r="CI127" s="95" t="inlineStr">
        <is>
          <t>-0,01%</t>
        </is>
      </c>
      <c r="CJ127" s="96" t="inlineStr">
        <is>
          <t>-1,96%</t>
        </is>
      </c>
      <c r="CK127" s="97" t="inlineStr">
        <is>
          <t>-1,61%</t>
        </is>
      </c>
      <c r="CL127" s="98" t="inlineStr">
        <is>
          <t>16</t>
        </is>
      </c>
      <c r="CM127" s="99" t="inlineStr">
        <is>
          <t>0,45%</t>
        </is>
      </c>
      <c r="CN127" s="100" t="inlineStr">
        <is>
          <t>87</t>
        </is>
      </c>
      <c r="CO127" s="101" t="inlineStr">
        <is>
          <t>-4,23%</t>
        </is>
      </c>
      <c r="CP127" s="102" t="inlineStr">
        <is>
          <t>23</t>
        </is>
      </c>
      <c r="CQ127" s="103" t="inlineStr">
        <is>
          <t>1,00%</t>
        </is>
      </c>
      <c r="CR127" s="104" t="inlineStr">
        <is>
          <t>93</t>
        </is>
      </c>
      <c r="CS127" s="105" t="inlineStr">
        <is>
          <t>0,82%</t>
        </is>
      </c>
      <c r="CT127" s="106" t="inlineStr">
        <is>
          <t>93</t>
        </is>
      </c>
      <c r="CU127" s="107" t="inlineStr">
        <is>
          <t>0,08%</t>
        </is>
      </c>
      <c r="CV127" s="108" t="inlineStr">
        <is>
          <t>63</t>
        </is>
      </c>
      <c r="CW127" s="109" t="inlineStr">
        <is>
          <t>75,11x</t>
        </is>
      </c>
      <c r="CX127" s="110" t="inlineStr">
        <is>
          <t>98</t>
        </is>
      </c>
      <c r="CY127" s="111" t="inlineStr">
        <is>
          <t>0,01x</t>
        </is>
      </c>
      <c r="CZ127" s="112" t="inlineStr">
        <is>
          <t>0,01%</t>
        </is>
      </c>
      <c r="DA127" s="113" t="inlineStr">
        <is>
          <t>75,16x</t>
        </is>
      </c>
      <c r="DB127" s="114" t="inlineStr">
        <is>
          <t>98</t>
        </is>
      </c>
      <c r="DC127" s="115" t="inlineStr">
        <is>
          <t>75,06x</t>
        </is>
      </c>
      <c r="DD127" s="116" t="inlineStr">
        <is>
          <t>96</t>
        </is>
      </c>
      <c r="DE127" s="117" t="inlineStr">
        <is>
          <t>144,15x</t>
        </is>
      </c>
      <c r="DF127" s="118" t="inlineStr">
        <is>
          <t>99</t>
        </is>
      </c>
      <c r="DG127" s="119" t="inlineStr">
        <is>
          <t>6,17x</t>
        </is>
      </c>
      <c r="DH127" s="120" t="inlineStr">
        <is>
          <t>81</t>
        </is>
      </c>
      <c r="DI127" s="121" t="inlineStr">
        <is>
          <t>148,89x</t>
        </is>
      </c>
      <c r="DJ127" s="122" t="inlineStr">
        <is>
          <t>96</t>
        </is>
      </c>
      <c r="DK127" s="123" t="inlineStr">
        <is>
          <t>1,22x</t>
        </is>
      </c>
      <c r="DL127" s="124" t="inlineStr">
        <is>
          <t>54</t>
        </is>
      </c>
      <c r="DM127" s="125" t="inlineStr">
        <is>
          <t>54.496</t>
        </is>
      </c>
      <c r="DN127" s="126" t="inlineStr">
        <is>
          <t>-3.051</t>
        </is>
      </c>
      <c r="DO127" s="127" t="inlineStr">
        <is>
          <t>-5,30%</t>
        </is>
      </c>
      <c r="DP127" s="128" t="inlineStr">
        <is>
          <t>117.492</t>
        </is>
      </c>
      <c r="DQ127" s="129" t="inlineStr">
        <is>
          <t>1.242</t>
        </is>
      </c>
      <c r="DR127" s="130" t="inlineStr">
        <is>
          <t>1,07%</t>
        </is>
      </c>
      <c r="DS127" s="131" t="inlineStr">
        <is>
          <t>223</t>
        </is>
      </c>
      <c r="DT127" s="132" t="inlineStr">
        <is>
          <t>0</t>
        </is>
      </c>
      <c r="DU127" s="133" t="inlineStr">
        <is>
          <t>0,00%</t>
        </is>
      </c>
      <c r="DV127" s="134" t="inlineStr">
        <is>
          <t>458</t>
        </is>
      </c>
      <c r="DW127" s="135" t="inlineStr">
        <is>
          <t>1</t>
        </is>
      </c>
      <c r="DX127" s="136" t="inlineStr">
        <is>
          <t>0,22%</t>
        </is>
      </c>
      <c r="DY127" s="137" t="inlineStr">
        <is>
          <t>PitchBook Research</t>
        </is>
      </c>
      <c r="DZ127" s="785">
        <f>HYPERLINK("https://my.pitchbook.com?c=168879-34", "View company online")</f>
      </c>
    </row>
    <row r="128">
      <c r="A128" s="139" t="inlineStr">
        <is>
          <t>161711-29</t>
        </is>
      </c>
      <c r="B128" s="140" t="inlineStr">
        <is>
          <t>SoundCharts</t>
        </is>
      </c>
      <c r="C128" s="141" t="inlineStr">
        <is>
          <t/>
        </is>
      </c>
      <c r="D128" s="142" t="inlineStr">
        <is>
          <t/>
        </is>
      </c>
      <c r="E128" s="143" t="inlineStr">
        <is>
          <t>161711-29</t>
        </is>
      </c>
      <c r="F128" s="144" t="inlineStr">
        <is>
          <t>Provider of real-time and historical music consumption data platform intended to offer market intelligence for the music industry. The company's music consumption data platform aggregates the music data online locating artists, identifying supporters and optimization of marketing campaigns using data from the charts, playlists, radio passages and social networks, enabling artists to stay informed every time and make better decisions.</t>
        </is>
      </c>
      <c r="G128" s="145" t="inlineStr">
        <is>
          <t>Information Technology</t>
        </is>
      </c>
      <c r="H128" s="146" t="inlineStr">
        <is>
          <t>Software</t>
        </is>
      </c>
      <c r="I128" s="147" t="inlineStr">
        <is>
          <t>Application Software</t>
        </is>
      </c>
      <c r="J128" s="148" t="inlineStr">
        <is>
          <t>Application Software*; Entertainment Software</t>
        </is>
      </c>
      <c r="K128" s="149" t="inlineStr">
        <is>
          <t>Mobile</t>
        </is>
      </c>
      <c r="L128" s="150" t="inlineStr">
        <is>
          <t>Venture Capital-Backed</t>
        </is>
      </c>
      <c r="M128" s="151" t="n">
        <v>2.97</v>
      </c>
      <c r="N128" s="152" t="inlineStr">
        <is>
          <t>Generating Revenue</t>
        </is>
      </c>
      <c r="O128" s="153" t="inlineStr">
        <is>
          <t>Privately Held (backing)</t>
        </is>
      </c>
      <c r="P128" s="154" t="inlineStr">
        <is>
          <t>Venture Capital</t>
        </is>
      </c>
      <c r="Q128" s="155" t="inlineStr">
        <is>
          <t>www.soundcharts.com</t>
        </is>
      </c>
      <c r="R128" s="156" t="n">
        <v>3.0</v>
      </c>
      <c r="S128" s="157" t="inlineStr">
        <is>
          <t/>
        </is>
      </c>
      <c r="T128" s="158" t="inlineStr">
        <is>
          <t/>
        </is>
      </c>
      <c r="U128" s="159" t="n">
        <v>2015.0</v>
      </c>
      <c r="V128" s="160" t="inlineStr">
        <is>
          <t/>
        </is>
      </c>
      <c r="W128" s="161" t="inlineStr">
        <is>
          <t/>
        </is>
      </c>
      <c r="X128" s="162" t="inlineStr">
        <is>
          <t/>
        </is>
      </c>
      <c r="Y128" s="163" t="inlineStr">
        <is>
          <t/>
        </is>
      </c>
      <c r="Z128" s="164" t="inlineStr">
        <is>
          <t/>
        </is>
      </c>
      <c r="AA128" s="165" t="n">
        <v>-0.06431</v>
      </c>
      <c r="AB128" s="166" t="inlineStr">
        <is>
          <t/>
        </is>
      </c>
      <c r="AC128" s="167" t="n">
        <v>-0.06431</v>
      </c>
      <c r="AD128" s="168" t="inlineStr">
        <is>
          <t>FY 2015</t>
        </is>
      </c>
      <c r="AE128" s="169" t="inlineStr">
        <is>
          <t>138639-79P</t>
        </is>
      </c>
      <c r="AF128" s="170" t="inlineStr">
        <is>
          <t>David Weiszfeld</t>
        </is>
      </c>
      <c r="AG128" s="171" t="inlineStr">
        <is>
          <t>Founder &amp; Chief Executive Officer</t>
        </is>
      </c>
      <c r="AH128" s="172" t="inlineStr">
        <is>
          <t>david@soundcharts.com</t>
        </is>
      </c>
      <c r="AI128" s="173" t="inlineStr">
        <is>
          <t/>
        </is>
      </c>
      <c r="AJ128" s="174" t="inlineStr">
        <is>
          <t>Paris, France</t>
        </is>
      </c>
      <c r="AK128" s="175" t="inlineStr">
        <is>
          <t>23 avenue Corentin Cariou</t>
        </is>
      </c>
      <c r="AL128" s="176" t="inlineStr">
        <is>
          <t/>
        </is>
      </c>
      <c r="AM128" s="177" t="inlineStr">
        <is>
          <t>Paris</t>
        </is>
      </c>
      <c r="AN128" s="178" t="inlineStr">
        <is>
          <t/>
        </is>
      </c>
      <c r="AO128" s="179" t="inlineStr">
        <is>
          <t>75019</t>
        </is>
      </c>
      <c r="AP128" s="180" t="inlineStr">
        <is>
          <t>France</t>
        </is>
      </c>
      <c r="AQ128" s="181" t="inlineStr">
        <is>
          <t/>
        </is>
      </c>
      <c r="AR128" s="182" t="inlineStr">
        <is>
          <t/>
        </is>
      </c>
      <c r="AS128" s="183" t="inlineStr">
        <is>
          <t>contact@soundcharts.com</t>
        </is>
      </c>
      <c r="AT128" s="184" t="inlineStr">
        <is>
          <t>Europe</t>
        </is>
      </c>
      <c r="AU128" s="185" t="inlineStr">
        <is>
          <t>Western Europe</t>
        </is>
      </c>
      <c r="AV128" s="186" t="inlineStr">
        <is>
          <t>The company raised EUR 2.65 million of Series A venture funding in a round led by Alven Capital Partners on September 12, 2017. Kima Ventures and Global Founders Capital also participated in this round. The company intends to use the new funding to strengthen its technical leadership.</t>
        </is>
      </c>
      <c r="AW128" s="187" t="inlineStr">
        <is>
          <t>Alven Capital Partners, Global Founders Capital, Guy Messina, Kima Ventures, Michael Dadoun, Thibaud Elziere</t>
        </is>
      </c>
      <c r="AX128" s="188" t="n">
        <v>6.0</v>
      </c>
      <c r="AY128" s="189" t="inlineStr">
        <is>
          <t/>
        </is>
      </c>
      <c r="AZ128" s="190" t="inlineStr">
        <is>
          <t/>
        </is>
      </c>
      <c r="BA128" s="191" t="inlineStr">
        <is>
          <t/>
        </is>
      </c>
      <c r="BB128" s="192" t="inlineStr">
        <is>
          <t>Alven Capital Partners (www.alven.co), Global Founders Capital (www.globalfounders.vc), Kima Ventures (www.kimaventures.com)</t>
        </is>
      </c>
      <c r="BC128" s="193" t="inlineStr">
        <is>
          <t/>
        </is>
      </c>
      <c r="BD128" s="194" t="inlineStr">
        <is>
          <t/>
        </is>
      </c>
      <c r="BE128" s="195" t="inlineStr">
        <is>
          <t/>
        </is>
      </c>
      <c r="BF128" s="196" t="inlineStr">
        <is>
          <t/>
        </is>
      </c>
      <c r="BG128" s="197" t="n">
        <v>42543.0</v>
      </c>
      <c r="BH128" s="198" t="n">
        <v>0.32</v>
      </c>
      <c r="BI128" s="199" t="inlineStr">
        <is>
          <t>Actual</t>
        </is>
      </c>
      <c r="BJ128" s="200" t="inlineStr">
        <is>
          <t/>
        </is>
      </c>
      <c r="BK128" s="201" t="inlineStr">
        <is>
          <t/>
        </is>
      </c>
      <c r="BL128" s="202" t="inlineStr">
        <is>
          <t>Seed Round</t>
        </is>
      </c>
      <c r="BM128" s="203" t="inlineStr">
        <is>
          <t>Seed</t>
        </is>
      </c>
      <c r="BN128" s="204" t="inlineStr">
        <is>
          <t/>
        </is>
      </c>
      <c r="BO128" s="205" t="inlineStr">
        <is>
          <t>Individual</t>
        </is>
      </c>
      <c r="BP128" s="206" t="inlineStr">
        <is>
          <t/>
        </is>
      </c>
      <c r="BQ128" s="207" t="inlineStr">
        <is>
          <t/>
        </is>
      </c>
      <c r="BR128" s="208" t="inlineStr">
        <is>
          <t/>
        </is>
      </c>
      <c r="BS128" s="209" t="inlineStr">
        <is>
          <t>Completed</t>
        </is>
      </c>
      <c r="BT128" s="210" t="n">
        <v>42990.0</v>
      </c>
      <c r="BU128" s="211" t="n">
        <v>2.65</v>
      </c>
      <c r="BV128" s="212" t="inlineStr">
        <is>
          <t>Actual</t>
        </is>
      </c>
      <c r="BW128" s="213" t="inlineStr">
        <is>
          <t/>
        </is>
      </c>
      <c r="BX128" s="214" t="inlineStr">
        <is>
          <t/>
        </is>
      </c>
      <c r="BY128" s="215" t="inlineStr">
        <is>
          <t>Early Stage VC</t>
        </is>
      </c>
      <c r="BZ128" s="216" t="inlineStr">
        <is>
          <t>Series A</t>
        </is>
      </c>
      <c r="CA128" s="217" t="inlineStr">
        <is>
          <t/>
        </is>
      </c>
      <c r="CB128" s="218" t="inlineStr">
        <is>
          <t>Venture Capital</t>
        </is>
      </c>
      <c r="CC128" s="219" t="inlineStr">
        <is>
          <t/>
        </is>
      </c>
      <c r="CD128" s="220" t="inlineStr">
        <is>
          <t/>
        </is>
      </c>
      <c r="CE128" s="221" t="inlineStr">
        <is>
          <t/>
        </is>
      </c>
      <c r="CF128" s="222" t="inlineStr">
        <is>
          <t>Completed</t>
        </is>
      </c>
      <c r="CG128" s="223" t="inlineStr">
        <is>
          <t>-1,11%</t>
        </is>
      </c>
      <c r="CH128" s="224" t="inlineStr">
        <is>
          <t>13</t>
        </is>
      </c>
      <c r="CI128" s="225" t="inlineStr">
        <is>
          <t>-0,02%</t>
        </is>
      </c>
      <c r="CJ128" s="226" t="inlineStr">
        <is>
          <t>-1,80%</t>
        </is>
      </c>
      <c r="CK128" s="227" t="inlineStr">
        <is>
          <t>-2,68%</t>
        </is>
      </c>
      <c r="CL128" s="228" t="inlineStr">
        <is>
          <t>12</t>
        </is>
      </c>
      <c r="CM128" s="229" t="inlineStr">
        <is>
          <t>0,46%</t>
        </is>
      </c>
      <c r="CN128" s="230" t="inlineStr">
        <is>
          <t>88</t>
        </is>
      </c>
      <c r="CO128" s="231" t="inlineStr">
        <is>
          <t>-5,37%</t>
        </is>
      </c>
      <c r="CP128" s="232" t="inlineStr">
        <is>
          <t>20</t>
        </is>
      </c>
      <c r="CQ128" s="233" t="inlineStr">
        <is>
          <t>0,00%</t>
        </is>
      </c>
      <c r="CR128" s="234" t="inlineStr">
        <is>
          <t>20</t>
        </is>
      </c>
      <c r="CS128" s="235" t="inlineStr">
        <is>
          <t>0,84%</t>
        </is>
      </c>
      <c r="CT128" s="236" t="inlineStr">
        <is>
          <t>93</t>
        </is>
      </c>
      <c r="CU128" s="237" t="inlineStr">
        <is>
          <t>0,08%</t>
        </is>
      </c>
      <c r="CV128" s="238" t="inlineStr">
        <is>
          <t>63</t>
        </is>
      </c>
      <c r="CW128" s="239" t="inlineStr">
        <is>
          <t>2,65x</t>
        </is>
      </c>
      <c r="CX128" s="240" t="inlineStr">
        <is>
          <t>70</t>
        </is>
      </c>
      <c r="CY128" s="241" t="inlineStr">
        <is>
          <t>-0,01x</t>
        </is>
      </c>
      <c r="CZ128" s="242" t="inlineStr">
        <is>
          <t>-0,53%</t>
        </is>
      </c>
      <c r="DA128" s="243" t="inlineStr">
        <is>
          <t>1,43x</t>
        </is>
      </c>
      <c r="DB128" s="244" t="inlineStr">
        <is>
          <t>60</t>
        </is>
      </c>
      <c r="DC128" s="245" t="inlineStr">
        <is>
          <t>3,87x</t>
        </is>
      </c>
      <c r="DD128" s="246" t="inlineStr">
        <is>
          <t>73</t>
        </is>
      </c>
      <c r="DE128" s="247" t="inlineStr">
        <is>
          <t>2,50x</t>
        </is>
      </c>
      <c r="DF128" s="248" t="inlineStr">
        <is>
          <t>70</t>
        </is>
      </c>
      <c r="DG128" s="249" t="inlineStr">
        <is>
          <t>0,36x</t>
        </is>
      </c>
      <c r="DH128" s="250" t="inlineStr">
        <is>
          <t>29</t>
        </is>
      </c>
      <c r="DI128" s="251" t="inlineStr">
        <is>
          <t>2,16x</t>
        </is>
      </c>
      <c r="DJ128" s="252" t="inlineStr">
        <is>
          <t>63</t>
        </is>
      </c>
      <c r="DK128" s="253" t="inlineStr">
        <is>
          <t>5,59x</t>
        </is>
      </c>
      <c r="DL128" s="254" t="inlineStr">
        <is>
          <t>80</t>
        </is>
      </c>
      <c r="DM128" s="255" t="inlineStr">
        <is>
          <t>962</t>
        </is>
      </c>
      <c r="DN128" s="256" t="inlineStr">
        <is>
          <t>-170</t>
        </is>
      </c>
      <c r="DO128" s="257" t="inlineStr">
        <is>
          <t>-15,02%</t>
        </is>
      </c>
      <c r="DP128" s="258" t="inlineStr">
        <is>
          <t>1.707</t>
        </is>
      </c>
      <c r="DQ128" s="259" t="inlineStr">
        <is>
          <t>9</t>
        </is>
      </c>
      <c r="DR128" s="260" t="inlineStr">
        <is>
          <t>0,53%</t>
        </is>
      </c>
      <c r="DS128" s="261" t="inlineStr">
        <is>
          <t>13</t>
        </is>
      </c>
      <c r="DT128" s="262" t="inlineStr">
        <is>
          <t>1</t>
        </is>
      </c>
      <c r="DU128" s="263" t="inlineStr">
        <is>
          <t>8,33%</t>
        </is>
      </c>
      <c r="DV128" s="264" t="inlineStr">
        <is>
          <t>2.088</t>
        </is>
      </c>
      <c r="DW128" s="265" t="inlineStr">
        <is>
          <t>3</t>
        </is>
      </c>
      <c r="DX128" s="266" t="inlineStr">
        <is>
          <t>0,14%</t>
        </is>
      </c>
      <c r="DY128" s="267" t="inlineStr">
        <is>
          <t>PitchBook Research</t>
        </is>
      </c>
      <c r="DZ128" s="786">
        <f>HYPERLINK("https://my.pitchbook.com?c=161711-29", "View company online")</f>
      </c>
    </row>
    <row r="129">
      <c r="A129" s="9" t="inlineStr">
        <is>
          <t>111558-34</t>
        </is>
      </c>
      <c r="B129" s="10" t="inlineStr">
        <is>
          <t>GRID Finance</t>
        </is>
      </c>
      <c r="C129" s="11" t="inlineStr">
        <is>
          <t/>
        </is>
      </c>
      <c r="D129" s="12" t="inlineStr">
        <is>
          <t/>
        </is>
      </c>
      <c r="E129" s="13" t="inlineStr">
        <is>
          <t>111558-34</t>
        </is>
      </c>
      <c r="F129" s="14" t="inlineStr">
        <is>
          <t>Provider of peer-to-peer lending platform designed to connect firms with individuals seeking to lend money at a return. The company offers an online project financing platform that enables businesses to raise debt financing at competitive interest rates, providing individuals with access to inexpensive, transparent and uncomplicated financial products and services as well as giving the support and tools for individuals and business owners to enhance their financial wellbeing.</t>
        </is>
      </c>
      <c r="G129" s="15" t="inlineStr">
        <is>
          <t>Information Technology</t>
        </is>
      </c>
      <c r="H129" s="16" t="inlineStr">
        <is>
          <t>Software</t>
        </is>
      </c>
      <c r="I129" s="17" t="inlineStr">
        <is>
          <t>Financial Software</t>
        </is>
      </c>
      <c r="J129" s="18" t="inlineStr">
        <is>
          <t>Financial Software*; Consumer Finance; Social/Platform Software</t>
        </is>
      </c>
      <c r="K129" s="19" t="inlineStr">
        <is>
          <t>FinTech</t>
        </is>
      </c>
      <c r="L129" s="20" t="inlineStr">
        <is>
          <t>Venture Capital-Backed</t>
        </is>
      </c>
      <c r="M129" s="21" t="n">
        <v>3.0</v>
      </c>
      <c r="N129" s="22" t="inlineStr">
        <is>
          <t>Startup</t>
        </is>
      </c>
      <c r="O129" s="23" t="inlineStr">
        <is>
          <t>Privately Held (backing)</t>
        </is>
      </c>
      <c r="P129" s="24" t="inlineStr">
        <is>
          <t>Venture Capital</t>
        </is>
      </c>
      <c r="Q129" s="25" t="inlineStr">
        <is>
          <t>www.gridfinance.ie</t>
        </is>
      </c>
      <c r="R129" s="26" t="n">
        <v>5.0</v>
      </c>
      <c r="S129" s="27" t="inlineStr">
        <is>
          <t/>
        </is>
      </c>
      <c r="T129" s="28" t="inlineStr">
        <is>
          <t/>
        </is>
      </c>
      <c r="U129" s="29" t="n">
        <v>2013.0</v>
      </c>
      <c r="V129" s="30" t="inlineStr">
        <is>
          <t/>
        </is>
      </c>
      <c r="W129" s="31" t="inlineStr">
        <is>
          <t/>
        </is>
      </c>
      <c r="X129" s="32" t="inlineStr">
        <is>
          <t/>
        </is>
      </c>
      <c r="Y129" s="33" t="inlineStr">
        <is>
          <t/>
        </is>
      </c>
      <c r="Z129" s="34" t="inlineStr">
        <is>
          <t/>
        </is>
      </c>
      <c r="AA129" s="35" t="inlineStr">
        <is>
          <t/>
        </is>
      </c>
      <c r="AB129" s="36" t="inlineStr">
        <is>
          <t/>
        </is>
      </c>
      <c r="AC129" s="37" t="inlineStr">
        <is>
          <t/>
        </is>
      </c>
      <c r="AD129" s="38" t="inlineStr">
        <is>
          <t/>
        </is>
      </c>
      <c r="AE129" s="39" t="inlineStr">
        <is>
          <t>100079-83P</t>
        </is>
      </c>
      <c r="AF129" s="40" t="inlineStr">
        <is>
          <t>Derek Butler</t>
        </is>
      </c>
      <c r="AG129" s="41" t="inlineStr">
        <is>
          <t>Co-Founder, Chief Executive Officer &amp; Chairman</t>
        </is>
      </c>
      <c r="AH129" s="42" t="inlineStr">
        <is>
          <t>derek@grid.finance</t>
        </is>
      </c>
      <c r="AI129" s="43" t="inlineStr">
        <is>
          <t>+353 (0)1 524 1615</t>
        </is>
      </c>
      <c r="AJ129" s="44" t="inlineStr">
        <is>
          <t>Dublin, Ireland</t>
        </is>
      </c>
      <c r="AK129" s="45" t="inlineStr">
        <is>
          <t>The Tower, Trinity Technology and Enterprise Centre</t>
        </is>
      </c>
      <c r="AL129" s="46" t="inlineStr">
        <is>
          <t>Grand Canal Quay</t>
        </is>
      </c>
      <c r="AM129" s="47" t="inlineStr">
        <is>
          <t>Dublin</t>
        </is>
      </c>
      <c r="AN129" s="48" t="inlineStr">
        <is>
          <t/>
        </is>
      </c>
      <c r="AO129" s="49" t="inlineStr">
        <is>
          <t>2</t>
        </is>
      </c>
      <c r="AP129" s="50" t="inlineStr">
        <is>
          <t>Ireland</t>
        </is>
      </c>
      <c r="AQ129" s="51" t="inlineStr">
        <is>
          <t>+353 (0)1 524 1615</t>
        </is>
      </c>
      <c r="AR129" s="52" t="inlineStr">
        <is>
          <t/>
        </is>
      </c>
      <c r="AS129" s="53" t="inlineStr">
        <is>
          <t>info@grid.finance</t>
        </is>
      </c>
      <c r="AT129" s="54" t="inlineStr">
        <is>
          <t>Europe</t>
        </is>
      </c>
      <c r="AU129" s="55" t="inlineStr">
        <is>
          <t>Western Europe</t>
        </is>
      </c>
      <c r="AV129" s="56" t="inlineStr">
        <is>
          <t>The company raised EUR 3 million of venture funding from Odysseus Investments on September 3, 2017. The company will use the investment to develop the technology behind its business credit score facility and step-up the marketing behind its brand with plans in the pipeline to expand the business to certain markets across Europe in the next few years. Previously, the company received EUR 25,000 of grant funding from Inclusion Plus on September 18, 2016.</t>
        </is>
      </c>
      <c r="AW129" s="57" t="inlineStr">
        <is>
          <t>Enterprise Ireland, Eoin O'Neill, Frank Doyle, Inclusion Plus, Kilcullen Kapital Partners, Odysseus Investments (REECH), Smurfit Kappa</t>
        </is>
      </c>
      <c r="AX129" s="58" t="n">
        <v>7.0</v>
      </c>
      <c r="AY129" s="59" t="inlineStr">
        <is>
          <t/>
        </is>
      </c>
      <c r="AZ129" s="60" t="inlineStr">
        <is>
          <t/>
        </is>
      </c>
      <c r="BA129" s="61" t="inlineStr">
        <is>
          <t/>
        </is>
      </c>
      <c r="BB129" s="62" t="inlineStr">
        <is>
          <t>Enterprise Ireland (www.enterprise-ireland.com), Inclusion Plus (www.inclusionplus.com), Kilcullen Kapital Partners (www.kilcullenkapital.com), Odysseus Investments (REECH) (www.odysseus-investments.com)</t>
        </is>
      </c>
      <c r="BC129" s="63" t="inlineStr">
        <is>
          <t/>
        </is>
      </c>
      <c r="BD129" s="64" t="inlineStr">
        <is>
          <t/>
        </is>
      </c>
      <c r="BE129" s="65" t="inlineStr">
        <is>
          <t>PwC (Advisor: General), Beauchamps Solicitors (Legal Advisor)</t>
        </is>
      </c>
      <c r="BF129" s="66" t="inlineStr">
        <is>
          <t>Philip Lee Solicitors (Advisor: General)</t>
        </is>
      </c>
      <c r="BG129" s="67" t="n">
        <v>41921.0</v>
      </c>
      <c r="BH129" s="68" t="inlineStr">
        <is>
          <t/>
        </is>
      </c>
      <c r="BI129" s="69" t="inlineStr">
        <is>
          <t/>
        </is>
      </c>
      <c r="BJ129" s="70" t="inlineStr">
        <is>
          <t/>
        </is>
      </c>
      <c r="BK129" s="71" t="inlineStr">
        <is>
          <t/>
        </is>
      </c>
      <c r="BL129" s="72" t="inlineStr">
        <is>
          <t>Early Stage VC</t>
        </is>
      </c>
      <c r="BM129" s="73" t="inlineStr">
        <is>
          <t/>
        </is>
      </c>
      <c r="BN129" s="74" t="inlineStr">
        <is>
          <t/>
        </is>
      </c>
      <c r="BO129" s="75" t="inlineStr">
        <is>
          <t>Venture Capital</t>
        </is>
      </c>
      <c r="BP129" s="76" t="inlineStr">
        <is>
          <t/>
        </is>
      </c>
      <c r="BQ129" s="77" t="inlineStr">
        <is>
          <t/>
        </is>
      </c>
      <c r="BR129" s="78" t="inlineStr">
        <is>
          <t/>
        </is>
      </c>
      <c r="BS129" s="79" t="inlineStr">
        <is>
          <t>Completed</t>
        </is>
      </c>
      <c r="BT129" s="80" t="n">
        <v>42981.0</v>
      </c>
      <c r="BU129" s="81" t="n">
        <v>3.0</v>
      </c>
      <c r="BV129" s="82" t="inlineStr">
        <is>
          <t>Actual</t>
        </is>
      </c>
      <c r="BW129" s="83" t="inlineStr">
        <is>
          <t/>
        </is>
      </c>
      <c r="BX129" s="84" t="inlineStr">
        <is>
          <t/>
        </is>
      </c>
      <c r="BY129" s="85" t="inlineStr">
        <is>
          <t>Early Stage VC</t>
        </is>
      </c>
      <c r="BZ129" s="86" t="inlineStr">
        <is>
          <t/>
        </is>
      </c>
      <c r="CA129" s="87" t="inlineStr">
        <is>
          <t/>
        </is>
      </c>
      <c r="CB129" s="88" t="inlineStr">
        <is>
          <t>Venture Capital</t>
        </is>
      </c>
      <c r="CC129" s="89" t="inlineStr">
        <is>
          <t/>
        </is>
      </c>
      <c r="CD129" s="90" t="inlineStr">
        <is>
          <t/>
        </is>
      </c>
      <c r="CE129" s="91" t="inlineStr">
        <is>
          <t/>
        </is>
      </c>
      <c r="CF129" s="92" t="inlineStr">
        <is>
          <t>Completed</t>
        </is>
      </c>
      <c r="CG129" s="93" t="inlineStr">
        <is>
          <t>0,01%</t>
        </is>
      </c>
      <c r="CH129" s="94" t="inlineStr">
        <is>
          <t>74</t>
        </is>
      </c>
      <c r="CI129" s="95" t="inlineStr">
        <is>
          <t>0,00%</t>
        </is>
      </c>
      <c r="CJ129" s="96" t="inlineStr">
        <is>
          <t>-17,46%</t>
        </is>
      </c>
      <c r="CK129" s="97" t="inlineStr">
        <is>
          <t>0,00%</t>
        </is>
      </c>
      <c r="CL129" s="98" t="inlineStr">
        <is>
          <t>28</t>
        </is>
      </c>
      <c r="CM129" s="99" t="inlineStr">
        <is>
          <t>0,02%</t>
        </is>
      </c>
      <c r="CN129" s="100" t="inlineStr">
        <is>
          <t>44</t>
        </is>
      </c>
      <c r="CO129" s="101" t="inlineStr">
        <is>
          <t>0,00%</t>
        </is>
      </c>
      <c r="CP129" s="102" t="inlineStr">
        <is>
          <t>37</t>
        </is>
      </c>
      <c r="CQ129" s="103" t="inlineStr">
        <is>
          <t>0,00%</t>
        </is>
      </c>
      <c r="CR129" s="104" t="inlineStr">
        <is>
          <t>20</t>
        </is>
      </c>
      <c r="CS129" s="105" t="inlineStr">
        <is>
          <t>-0,05%</t>
        </is>
      </c>
      <c r="CT129" s="106" t="inlineStr">
        <is>
          <t>7</t>
        </is>
      </c>
      <c r="CU129" s="107" t="inlineStr">
        <is>
          <t>0,09%</t>
        </is>
      </c>
      <c r="CV129" s="108" t="inlineStr">
        <is>
          <t>64</t>
        </is>
      </c>
      <c r="CW129" s="109" t="inlineStr">
        <is>
          <t>1,99x</t>
        </is>
      </c>
      <c r="CX129" s="110" t="inlineStr">
        <is>
          <t>64</t>
        </is>
      </c>
      <c r="CY129" s="111" t="inlineStr">
        <is>
          <t>-0,01x</t>
        </is>
      </c>
      <c r="CZ129" s="112" t="inlineStr">
        <is>
          <t>-0,38%</t>
        </is>
      </c>
      <c r="DA129" s="113" t="inlineStr">
        <is>
          <t>0,82x</t>
        </is>
      </c>
      <c r="DB129" s="114" t="inlineStr">
        <is>
          <t>46</t>
        </is>
      </c>
      <c r="DC129" s="115" t="inlineStr">
        <is>
          <t>3,15x</t>
        </is>
      </c>
      <c r="DD129" s="116" t="inlineStr">
        <is>
          <t>70</t>
        </is>
      </c>
      <c r="DE129" s="117" t="inlineStr">
        <is>
          <t>0,33x</t>
        </is>
      </c>
      <c r="DF129" s="118" t="inlineStr">
        <is>
          <t>24</t>
        </is>
      </c>
      <c r="DG129" s="119" t="inlineStr">
        <is>
          <t>1,31x</t>
        </is>
      </c>
      <c r="DH129" s="120" t="inlineStr">
        <is>
          <t>56</t>
        </is>
      </c>
      <c r="DI129" s="121" t="inlineStr">
        <is>
          <t>1,03x</t>
        </is>
      </c>
      <c r="DJ129" s="122" t="inlineStr">
        <is>
          <t>51</t>
        </is>
      </c>
      <c r="DK129" s="123" t="inlineStr">
        <is>
          <t>5,28x</t>
        </is>
      </c>
      <c r="DL129" s="124" t="inlineStr">
        <is>
          <t>80</t>
        </is>
      </c>
      <c r="DM129" s="125" t="inlineStr">
        <is>
          <t>122</t>
        </is>
      </c>
      <c r="DN129" s="126" t="inlineStr">
        <is>
          <t>4</t>
        </is>
      </c>
      <c r="DO129" s="127" t="inlineStr">
        <is>
          <t>3,39%</t>
        </is>
      </c>
      <c r="DP129" s="128" t="inlineStr">
        <is>
          <t>811</t>
        </is>
      </c>
      <c r="DQ129" s="129" t="inlineStr">
        <is>
          <t>-1</t>
        </is>
      </c>
      <c r="DR129" s="130" t="inlineStr">
        <is>
          <t>-0,12%</t>
        </is>
      </c>
      <c r="DS129" s="131" t="inlineStr">
        <is>
          <t>46</t>
        </is>
      </c>
      <c r="DT129" s="132" t="inlineStr">
        <is>
          <t>0</t>
        </is>
      </c>
      <c r="DU129" s="133" t="inlineStr">
        <is>
          <t>0,00%</t>
        </is>
      </c>
      <c r="DV129" s="134" t="inlineStr">
        <is>
          <t>1.974</t>
        </is>
      </c>
      <c r="DW129" s="135" t="inlineStr">
        <is>
          <t>2</t>
        </is>
      </c>
      <c r="DX129" s="136" t="inlineStr">
        <is>
          <t>0,10%</t>
        </is>
      </c>
      <c r="DY129" s="137" t="inlineStr">
        <is>
          <t>PitchBook Research</t>
        </is>
      </c>
      <c r="DZ129" s="785">
        <f>HYPERLINK("https://my.pitchbook.com?c=111558-34", "View company online")</f>
      </c>
    </row>
    <row r="130">
      <c r="A130" s="139" t="inlineStr">
        <is>
          <t>118372-24</t>
        </is>
      </c>
      <c r="B130" s="140" t="inlineStr">
        <is>
          <t>DreamQuark</t>
        </is>
      </c>
      <c r="C130" s="141" t="inlineStr">
        <is>
          <t/>
        </is>
      </c>
      <c r="D130" s="142" t="inlineStr">
        <is>
          <t/>
        </is>
      </c>
      <c r="E130" s="143" t="inlineStr">
        <is>
          <t>118372-24</t>
        </is>
      </c>
      <c r="F130" s="144" t="inlineStr">
        <is>
          <t>Developer of cognitive applications intended to help healthcare and insurance professionals create new value out of their data stocks. The company's tools employ cognitive and deep-learning technologies enabling their customers to create new products and services for prevention, diagnostic and care.</t>
        </is>
      </c>
      <c r="G130" s="145" t="inlineStr">
        <is>
          <t>Information Technology</t>
        </is>
      </c>
      <c r="H130" s="146" t="inlineStr">
        <is>
          <t>Software</t>
        </is>
      </c>
      <c r="I130" s="147" t="inlineStr">
        <is>
          <t>Application Software</t>
        </is>
      </c>
      <c r="J130" s="148" t="inlineStr">
        <is>
          <t>Application Software*; Other Healthcare Technology Systems</t>
        </is>
      </c>
      <c r="K130" s="149" t="inlineStr">
        <is>
          <t>Artificial Intelligence &amp; Machine Learning, HealthTech, InsurTech</t>
        </is>
      </c>
      <c r="L130" s="150" t="inlineStr">
        <is>
          <t>Venture Capital-Backed</t>
        </is>
      </c>
      <c r="M130" s="151" t="n">
        <v>3.0</v>
      </c>
      <c r="N130" s="152" t="inlineStr">
        <is>
          <t>Generating Revenue</t>
        </is>
      </c>
      <c r="O130" s="153" t="inlineStr">
        <is>
          <t>Privately Held (backing)</t>
        </is>
      </c>
      <c r="P130" s="154" t="inlineStr">
        <is>
          <t>Venture Capital</t>
        </is>
      </c>
      <c r="Q130" s="155" t="inlineStr">
        <is>
          <t>www.dreamquark.com</t>
        </is>
      </c>
      <c r="R130" s="156" t="n">
        <v>10.0</v>
      </c>
      <c r="S130" s="157" t="inlineStr">
        <is>
          <t/>
        </is>
      </c>
      <c r="T130" s="158" t="inlineStr">
        <is>
          <t/>
        </is>
      </c>
      <c r="U130" s="159" t="n">
        <v>2014.0</v>
      </c>
      <c r="V130" s="160" t="inlineStr">
        <is>
          <t/>
        </is>
      </c>
      <c r="W130" s="161" t="inlineStr">
        <is>
          <t/>
        </is>
      </c>
      <c r="X130" s="162" t="inlineStr">
        <is>
          <t/>
        </is>
      </c>
      <c r="Y130" s="163" t="inlineStr">
        <is>
          <t/>
        </is>
      </c>
      <c r="Z130" s="164" t="inlineStr">
        <is>
          <t/>
        </is>
      </c>
      <c r="AA130" s="165" t="inlineStr">
        <is>
          <t/>
        </is>
      </c>
      <c r="AB130" s="166" t="inlineStr">
        <is>
          <t/>
        </is>
      </c>
      <c r="AC130" s="167" t="inlineStr">
        <is>
          <t/>
        </is>
      </c>
      <c r="AD130" s="168" t="inlineStr">
        <is>
          <t/>
        </is>
      </c>
      <c r="AE130" s="169" t="inlineStr">
        <is>
          <t>158031-82P</t>
        </is>
      </c>
      <c r="AF130" s="170" t="inlineStr">
        <is>
          <t>Nicolas Meric</t>
        </is>
      </c>
      <c r="AG130" s="171" t="inlineStr">
        <is>
          <t>Co-Founder &amp; Chief Executive Officer</t>
        </is>
      </c>
      <c r="AH130" s="172" t="inlineStr">
        <is>
          <t>nicolas.meric@dreamquark.com</t>
        </is>
      </c>
      <c r="AI130" s="173" t="inlineStr">
        <is>
          <t>+33 (0)1 83 75 72 84</t>
        </is>
      </c>
      <c r="AJ130" s="174" t="inlineStr">
        <is>
          <t>Paris, France</t>
        </is>
      </c>
      <c r="AK130" s="175" t="inlineStr">
        <is>
          <t>29 rue de Courcelles</t>
        </is>
      </c>
      <c r="AL130" s="176" t="inlineStr">
        <is>
          <t/>
        </is>
      </c>
      <c r="AM130" s="177" t="inlineStr">
        <is>
          <t>Paris</t>
        </is>
      </c>
      <c r="AN130" s="178" t="inlineStr">
        <is>
          <t/>
        </is>
      </c>
      <c r="AO130" s="179" t="inlineStr">
        <is>
          <t>75008</t>
        </is>
      </c>
      <c r="AP130" s="180" t="inlineStr">
        <is>
          <t>France</t>
        </is>
      </c>
      <c r="AQ130" s="181" t="inlineStr">
        <is>
          <t>+33 (0)1 83 75 72 84</t>
        </is>
      </c>
      <c r="AR130" s="182" t="inlineStr">
        <is>
          <t/>
        </is>
      </c>
      <c r="AS130" s="183" t="inlineStr">
        <is>
          <t>info@dreamquark.com</t>
        </is>
      </c>
      <c r="AT130" s="184" t="inlineStr">
        <is>
          <t>Europe</t>
        </is>
      </c>
      <c r="AU130" s="185" t="inlineStr">
        <is>
          <t>Western Europe</t>
        </is>
      </c>
      <c r="AV130" s="186" t="inlineStr">
        <is>
          <t>The company raised EUR 3 million of venture funding in a deal led by CapHorn Invest on November 20, 2017. Plug and Play Tech Center also participated in this round. The funding will allow DreamQuark to strengthen its team and maintain its technological edge to cope with the rapid acceleration of its activity. Prior to that, the company joined Plug and Play Tech Center as a part of its Paris Fintech Program Cohort 1 on April 28, 2017. Earlier that year, the company joined MundiLab as a part of its 2017 Cohort on January 21, 2017 and received an undisclosed amount in funding.</t>
        </is>
      </c>
      <c r="AW130" s="187" t="inlineStr">
        <is>
          <t>Allianz Startups Accelerator, CapHorn Invest, Deloitte Digital Disruptors, MundiLab, Plug and Play Tech Center, Startup42, Startupbootcamp, Telecom Paristech</t>
        </is>
      </c>
      <c r="AX130" s="188" t="n">
        <v>8.0</v>
      </c>
      <c r="AY130" s="189" t="inlineStr">
        <is>
          <t/>
        </is>
      </c>
      <c r="AZ130" s="190" t="inlineStr">
        <is>
          <t/>
        </is>
      </c>
      <c r="BA130" s="191" t="inlineStr">
        <is>
          <t/>
        </is>
      </c>
      <c r="BB130" s="192" t="inlineStr">
        <is>
          <t>CapHorn Invest (www.caphorninvest.fr), Deloitte Digital Disruptors (www.deloittedigitaldisruptors.com), MundiLab (www.mundi-lab.com), Plug and Play Tech Center (www.plugandplaytechcenter.com), Startup42 (www.startup42.org), Startupbootcamp (www.startupbootcamp.org), Telecom Paristech (www.paristech-entrepreneurs.fr)</t>
        </is>
      </c>
      <c r="BC130" s="193" t="inlineStr">
        <is>
          <t/>
        </is>
      </c>
      <c r="BD130" s="194" t="inlineStr">
        <is>
          <t/>
        </is>
      </c>
      <c r="BE130" s="195" t="inlineStr">
        <is>
          <t/>
        </is>
      </c>
      <c r="BF130" s="196" t="inlineStr">
        <is>
          <t/>
        </is>
      </c>
      <c r="BG130" s="197" t="inlineStr">
        <is>
          <t/>
        </is>
      </c>
      <c r="BH130" s="198" t="inlineStr">
        <is>
          <t/>
        </is>
      </c>
      <c r="BI130" s="199" t="inlineStr">
        <is>
          <t/>
        </is>
      </c>
      <c r="BJ130" s="200" t="inlineStr">
        <is>
          <t/>
        </is>
      </c>
      <c r="BK130" s="201" t="inlineStr">
        <is>
          <t/>
        </is>
      </c>
      <c r="BL130" s="202" t="inlineStr">
        <is>
          <t>Accelerator/Incubator</t>
        </is>
      </c>
      <c r="BM130" s="203" t="inlineStr">
        <is>
          <t/>
        </is>
      </c>
      <c r="BN130" s="204" t="inlineStr">
        <is>
          <t/>
        </is>
      </c>
      <c r="BO130" s="205" t="inlineStr">
        <is>
          <t>Other</t>
        </is>
      </c>
      <c r="BP130" s="206" t="inlineStr">
        <is>
          <t/>
        </is>
      </c>
      <c r="BQ130" s="207" t="inlineStr">
        <is>
          <t/>
        </is>
      </c>
      <c r="BR130" s="208" t="inlineStr">
        <is>
          <t/>
        </is>
      </c>
      <c r="BS130" s="209" t="inlineStr">
        <is>
          <t>Completed</t>
        </is>
      </c>
      <c r="BT130" s="210" t="n">
        <v>43059.0</v>
      </c>
      <c r="BU130" s="211" t="n">
        <v>3.0</v>
      </c>
      <c r="BV130" s="212" t="inlineStr">
        <is>
          <t>Actual</t>
        </is>
      </c>
      <c r="BW130" s="213" t="inlineStr">
        <is>
          <t/>
        </is>
      </c>
      <c r="BX130" s="214" t="inlineStr">
        <is>
          <t/>
        </is>
      </c>
      <c r="BY130" s="215" t="inlineStr">
        <is>
          <t>Early Stage VC</t>
        </is>
      </c>
      <c r="BZ130" s="216" t="inlineStr">
        <is>
          <t/>
        </is>
      </c>
      <c r="CA130" s="217" t="inlineStr">
        <is>
          <t/>
        </is>
      </c>
      <c r="CB130" s="218" t="inlineStr">
        <is>
          <t>Venture Capital</t>
        </is>
      </c>
      <c r="CC130" s="219" t="inlineStr">
        <is>
          <t/>
        </is>
      </c>
      <c r="CD130" s="220" t="inlineStr">
        <is>
          <t/>
        </is>
      </c>
      <c r="CE130" s="221" t="inlineStr">
        <is>
          <t/>
        </is>
      </c>
      <c r="CF130" s="222" t="inlineStr">
        <is>
          <t>Completed</t>
        </is>
      </c>
      <c r="CG130" s="223" t="inlineStr">
        <is>
          <t>0,25%</t>
        </is>
      </c>
      <c r="CH130" s="224" t="inlineStr">
        <is>
          <t>88</t>
        </is>
      </c>
      <c r="CI130" s="225" t="inlineStr">
        <is>
          <t>0,38%</t>
        </is>
      </c>
      <c r="CJ130" s="226" t="inlineStr">
        <is>
          <t>302,06%</t>
        </is>
      </c>
      <c r="CK130" s="227" t="inlineStr">
        <is>
          <t>-0,55%</t>
        </is>
      </c>
      <c r="CL130" s="228" t="inlineStr">
        <is>
          <t>23</t>
        </is>
      </c>
      <c r="CM130" s="229" t="inlineStr">
        <is>
          <t>1,05%</t>
        </is>
      </c>
      <c r="CN130" s="230" t="inlineStr">
        <is>
          <t>96</t>
        </is>
      </c>
      <c r="CO130" s="231" t="inlineStr">
        <is>
          <t>-1,00%</t>
        </is>
      </c>
      <c r="CP130" s="232" t="inlineStr">
        <is>
          <t>33</t>
        </is>
      </c>
      <c r="CQ130" s="233" t="inlineStr">
        <is>
          <t>-0,10%</t>
        </is>
      </c>
      <c r="CR130" s="234" t="inlineStr">
        <is>
          <t>20</t>
        </is>
      </c>
      <c r="CS130" s="235" t="inlineStr">
        <is>
          <t/>
        </is>
      </c>
      <c r="CT130" s="236" t="inlineStr">
        <is>
          <t/>
        </is>
      </c>
      <c r="CU130" s="237" t="inlineStr">
        <is>
          <t>1,05%</t>
        </is>
      </c>
      <c r="CV130" s="238" t="inlineStr">
        <is>
          <t>97</t>
        </is>
      </c>
      <c r="CW130" s="239" t="inlineStr">
        <is>
          <t>2,37x</t>
        </is>
      </c>
      <c r="CX130" s="240" t="inlineStr">
        <is>
          <t>68</t>
        </is>
      </c>
      <c r="CY130" s="241" t="inlineStr">
        <is>
          <t>0,17x</t>
        </is>
      </c>
      <c r="CZ130" s="242" t="inlineStr">
        <is>
          <t>7,54%</t>
        </is>
      </c>
      <c r="DA130" s="243" t="inlineStr">
        <is>
          <t>2,88x</t>
        </is>
      </c>
      <c r="DB130" s="244" t="inlineStr">
        <is>
          <t>73</t>
        </is>
      </c>
      <c r="DC130" s="245" t="inlineStr">
        <is>
          <t>1,86x</t>
        </is>
      </c>
      <c r="DD130" s="246" t="inlineStr">
        <is>
          <t>60</t>
        </is>
      </c>
      <c r="DE130" s="247" t="inlineStr">
        <is>
          <t>1,25x</t>
        </is>
      </c>
      <c r="DF130" s="248" t="inlineStr">
        <is>
          <t>56</t>
        </is>
      </c>
      <c r="DG130" s="249" t="inlineStr">
        <is>
          <t>4,50x</t>
        </is>
      </c>
      <c r="DH130" s="250" t="inlineStr">
        <is>
          <t>78</t>
        </is>
      </c>
      <c r="DI130" s="251" t="inlineStr">
        <is>
          <t/>
        </is>
      </c>
      <c r="DJ130" s="252" t="inlineStr">
        <is>
          <t/>
        </is>
      </c>
      <c r="DK130" s="253" t="inlineStr">
        <is>
          <t>1,86x</t>
        </is>
      </c>
      <c r="DL130" s="254" t="inlineStr">
        <is>
          <t>62</t>
        </is>
      </c>
      <c r="DM130" s="255" t="inlineStr">
        <is>
          <t>452</t>
        </is>
      </c>
      <c r="DN130" s="256" t="inlineStr">
        <is>
          <t>34</t>
        </is>
      </c>
      <c r="DO130" s="257" t="inlineStr">
        <is>
          <t>8,13%</t>
        </is>
      </c>
      <c r="DP130" s="258" t="inlineStr">
        <is>
          <t/>
        </is>
      </c>
      <c r="DQ130" s="259" t="inlineStr">
        <is>
          <t/>
        </is>
      </c>
      <c r="DR130" s="260" t="inlineStr">
        <is>
          <t/>
        </is>
      </c>
      <c r="DS130" s="261" t="inlineStr">
        <is>
          <t>152</t>
        </is>
      </c>
      <c r="DT130" s="262" t="inlineStr">
        <is>
          <t>13</t>
        </is>
      </c>
      <c r="DU130" s="263" t="inlineStr">
        <is>
          <t>9,35%</t>
        </is>
      </c>
      <c r="DV130" s="264" t="inlineStr">
        <is>
          <t>686</t>
        </is>
      </c>
      <c r="DW130" s="265" t="inlineStr">
        <is>
          <t>7</t>
        </is>
      </c>
      <c r="DX130" s="266" t="inlineStr">
        <is>
          <t>1,03%</t>
        </is>
      </c>
      <c r="DY130" s="267" t="inlineStr">
        <is>
          <t>PitchBook Research</t>
        </is>
      </c>
      <c r="DZ130" s="786">
        <f>HYPERLINK("https://my.pitchbook.com?c=118372-24", "View company online")</f>
      </c>
    </row>
    <row r="131">
      <c r="A131" s="9" t="inlineStr">
        <is>
          <t>186033-79</t>
        </is>
      </c>
      <c r="B131" s="10" t="inlineStr">
        <is>
          <t>Upmem</t>
        </is>
      </c>
      <c r="C131" s="11" t="inlineStr">
        <is>
          <t/>
        </is>
      </c>
      <c r="D131" s="12" t="inlineStr">
        <is>
          <t/>
        </is>
      </c>
      <c r="E131" s="13" t="inlineStr">
        <is>
          <t>186033-79</t>
        </is>
      </c>
      <c r="F131" s="14" t="inlineStr">
        <is>
          <t>Developer of microprocessor created to improve the performance of data-intensive algorithms. The company's microprocessor is for the use in data-intensive, its Processing-In-Memory technology developed by the company is combining DRAM and hundreds of processing units, to enable massively parallel processing of data with unbeatable bandwidth and latency applications in the data center.</t>
        </is>
      </c>
      <c r="G131" s="15" t="inlineStr">
        <is>
          <t>Information Technology</t>
        </is>
      </c>
      <c r="H131" s="16" t="inlineStr">
        <is>
          <t>Semiconductors</t>
        </is>
      </c>
      <c r="I131" s="17" t="inlineStr">
        <is>
          <t>Application Specific Semiconductors</t>
        </is>
      </c>
      <c r="J131" s="18" t="inlineStr">
        <is>
          <t>Application Specific Semiconductors*</t>
        </is>
      </c>
      <c r="K131" s="19" t="inlineStr">
        <is>
          <t>Big Data</t>
        </is>
      </c>
      <c r="L131" s="20" t="inlineStr">
        <is>
          <t>Venture Capital-Backed</t>
        </is>
      </c>
      <c r="M131" s="21" t="n">
        <v>3.0</v>
      </c>
      <c r="N131" s="22" t="inlineStr">
        <is>
          <t>Generating Revenue</t>
        </is>
      </c>
      <c r="O131" s="23" t="inlineStr">
        <is>
          <t>Privately Held (backing)</t>
        </is>
      </c>
      <c r="P131" s="24" t="inlineStr">
        <is>
          <t>Venture Capital</t>
        </is>
      </c>
      <c r="Q131" s="25" t="inlineStr">
        <is>
          <t>www.upmem.com</t>
        </is>
      </c>
      <c r="R131" s="26" t="inlineStr">
        <is>
          <t/>
        </is>
      </c>
      <c r="S131" s="27" t="inlineStr">
        <is>
          <t/>
        </is>
      </c>
      <c r="T131" s="28" t="inlineStr">
        <is>
          <t/>
        </is>
      </c>
      <c r="U131" s="29" t="n">
        <v>2015.0</v>
      </c>
      <c r="V131" s="30" t="inlineStr">
        <is>
          <t/>
        </is>
      </c>
      <c r="W131" s="31" t="inlineStr">
        <is>
          <t/>
        </is>
      </c>
      <c r="X131" s="32" t="inlineStr">
        <is>
          <t/>
        </is>
      </c>
      <c r="Y131" s="33" t="inlineStr">
        <is>
          <t/>
        </is>
      </c>
      <c r="Z131" s="34" t="inlineStr">
        <is>
          <t/>
        </is>
      </c>
      <c r="AA131" s="35" t="inlineStr">
        <is>
          <t/>
        </is>
      </c>
      <c r="AB131" s="36" t="inlineStr">
        <is>
          <t/>
        </is>
      </c>
      <c r="AC131" s="37" t="inlineStr">
        <is>
          <t/>
        </is>
      </c>
      <c r="AD131" s="38" t="inlineStr">
        <is>
          <t/>
        </is>
      </c>
      <c r="AE131" s="39" t="inlineStr">
        <is>
          <t>170590-69P</t>
        </is>
      </c>
      <c r="AF131" s="40" t="inlineStr">
        <is>
          <t>Jean-Francois Roy</t>
        </is>
      </c>
      <c r="AG131" s="41" t="inlineStr">
        <is>
          <t>Co-Founder, Co-Chief Executive Officer &amp; Chief Operating Officer</t>
        </is>
      </c>
      <c r="AH131" s="42" t="inlineStr">
        <is>
          <t>jroy@upmem.com</t>
        </is>
      </c>
      <c r="AI131" s="43" t="inlineStr">
        <is>
          <t/>
        </is>
      </c>
      <c r="AJ131" s="44" t="inlineStr">
        <is>
          <t>Grenoble, France</t>
        </is>
      </c>
      <c r="AK131" s="45" t="inlineStr">
        <is>
          <t>2, square Roger Genin</t>
        </is>
      </c>
      <c r="AL131" s="46" t="inlineStr">
        <is>
          <t/>
        </is>
      </c>
      <c r="AM131" s="47" t="inlineStr">
        <is>
          <t>Grenoble</t>
        </is>
      </c>
      <c r="AN131" s="48" t="inlineStr">
        <is>
          <t/>
        </is>
      </c>
      <c r="AO131" s="49" t="inlineStr">
        <is>
          <t>38000</t>
        </is>
      </c>
      <c r="AP131" s="50" t="inlineStr">
        <is>
          <t>France</t>
        </is>
      </c>
      <c r="AQ131" s="51" t="inlineStr">
        <is>
          <t/>
        </is>
      </c>
      <c r="AR131" s="52" t="inlineStr">
        <is>
          <t/>
        </is>
      </c>
      <c r="AS131" s="53" t="inlineStr">
        <is>
          <t/>
        </is>
      </c>
      <c r="AT131" s="54" t="inlineStr">
        <is>
          <t>Europe</t>
        </is>
      </c>
      <c r="AU131" s="55" t="inlineStr">
        <is>
          <t>Western Europe</t>
        </is>
      </c>
      <c r="AV131" s="56" t="inlineStr">
        <is>
          <t>The company raised EUR 3 million of Series A funding led by C4Ventures on September 7, 2017. Partech Ventures, Supernova Invest, Western Digital Capital, Crédit Agricole bank, Charles-Antoine Beyney and other undisclosed investors also participated in the round. The funds will be used to produce and bring to market its disruptive Processing In-Memory (PIM) chip-based solution and accelerate its evaluation programs with top tier global big data customers and IT labs.</t>
        </is>
      </c>
      <c r="AW131" s="57" t="inlineStr">
        <is>
          <t>C4 Ventures, Charles-Antoine Beyney, Credit Agricole, New Technology Venture Accelerator, Partech Ventures, Supernova Invest, Western Digital Capital</t>
        </is>
      </c>
      <c r="AX131" s="58" t="n">
        <v>7.0</v>
      </c>
      <c r="AY131" s="59" t="inlineStr">
        <is>
          <t/>
        </is>
      </c>
      <c r="AZ131" s="60" t="inlineStr">
        <is>
          <t/>
        </is>
      </c>
      <c r="BA131" s="61" t="inlineStr">
        <is>
          <t/>
        </is>
      </c>
      <c r="BB131" s="62" t="inlineStr">
        <is>
          <t>C4 Ventures (www.c4v.com), Credit Agricole (www.credit-agricole.com), New Technology Venture Accelerator (www.netvafrance.com), Partech Ventures (www.partechventures.com), Supernova Invest (www.supernovainvest.com), Western Digital Capital (www.westerndigitalcapital.com)</t>
        </is>
      </c>
      <c r="BC131" s="63" t="inlineStr">
        <is>
          <t/>
        </is>
      </c>
      <c r="BD131" s="64" t="inlineStr">
        <is>
          <t/>
        </is>
      </c>
      <c r="BE131" s="65" t="inlineStr">
        <is>
          <t/>
        </is>
      </c>
      <c r="BF131" s="66" t="inlineStr">
        <is>
          <t/>
        </is>
      </c>
      <c r="BG131" s="67" t="inlineStr">
        <is>
          <t/>
        </is>
      </c>
      <c r="BH131" s="68" t="inlineStr">
        <is>
          <t/>
        </is>
      </c>
      <c r="BI131" s="69" t="inlineStr">
        <is>
          <t/>
        </is>
      </c>
      <c r="BJ131" s="70" t="inlineStr">
        <is>
          <t/>
        </is>
      </c>
      <c r="BK131" s="71" t="inlineStr">
        <is>
          <t/>
        </is>
      </c>
      <c r="BL131" s="72" t="inlineStr">
        <is>
          <t>Angel (individual)</t>
        </is>
      </c>
      <c r="BM131" s="73" t="inlineStr">
        <is>
          <t>Angel</t>
        </is>
      </c>
      <c r="BN131" s="74" t="inlineStr">
        <is>
          <t/>
        </is>
      </c>
      <c r="BO131" s="75" t="inlineStr">
        <is>
          <t>Individual</t>
        </is>
      </c>
      <c r="BP131" s="76" t="inlineStr">
        <is>
          <t/>
        </is>
      </c>
      <c r="BQ131" s="77" t="inlineStr">
        <is>
          <t/>
        </is>
      </c>
      <c r="BR131" s="78" t="inlineStr">
        <is>
          <t/>
        </is>
      </c>
      <c r="BS131" s="79" t="inlineStr">
        <is>
          <t>Completed</t>
        </is>
      </c>
      <c r="BT131" s="80" t="n">
        <v>42985.0</v>
      </c>
      <c r="BU131" s="81" t="n">
        <v>3.0</v>
      </c>
      <c r="BV131" s="82" t="inlineStr">
        <is>
          <t>Actual</t>
        </is>
      </c>
      <c r="BW131" s="83" t="inlineStr">
        <is>
          <t/>
        </is>
      </c>
      <c r="BX131" s="84" t="inlineStr">
        <is>
          <t/>
        </is>
      </c>
      <c r="BY131" s="85" t="inlineStr">
        <is>
          <t>Early Stage VC</t>
        </is>
      </c>
      <c r="BZ131" s="86" t="inlineStr">
        <is>
          <t>Series A</t>
        </is>
      </c>
      <c r="CA131" s="87" t="inlineStr">
        <is>
          <t/>
        </is>
      </c>
      <c r="CB131" s="88" t="inlineStr">
        <is>
          <t>Venture Capital</t>
        </is>
      </c>
      <c r="CC131" s="89" t="inlineStr">
        <is>
          <t/>
        </is>
      </c>
      <c r="CD131" s="90" t="inlineStr">
        <is>
          <t/>
        </is>
      </c>
      <c r="CE131" s="91" t="inlineStr">
        <is>
          <t/>
        </is>
      </c>
      <c r="CF131" s="92" t="inlineStr">
        <is>
          <t>Completed</t>
        </is>
      </c>
      <c r="CG131" s="93" t="inlineStr">
        <is>
          <t>0,00%</t>
        </is>
      </c>
      <c r="CH131" s="94" t="inlineStr">
        <is>
          <t>33</t>
        </is>
      </c>
      <c r="CI131" s="95" t="inlineStr">
        <is>
          <t>0,00%</t>
        </is>
      </c>
      <c r="CJ131" s="96" t="inlineStr">
        <is>
          <t>0,00%</t>
        </is>
      </c>
      <c r="CK131" s="97" t="inlineStr">
        <is>
          <t>0,00%</t>
        </is>
      </c>
      <c r="CL131" s="98" t="inlineStr">
        <is>
          <t>28</t>
        </is>
      </c>
      <c r="CM131" s="99" t="inlineStr">
        <is>
          <t>0,00%</t>
        </is>
      </c>
      <c r="CN131" s="100" t="inlineStr">
        <is>
          <t>20</t>
        </is>
      </c>
      <c r="CO131" s="101" t="inlineStr">
        <is>
          <t/>
        </is>
      </c>
      <c r="CP131" s="102" t="inlineStr">
        <is>
          <t/>
        </is>
      </c>
      <c r="CQ131" s="103" t="inlineStr">
        <is>
          <t>0,00%</t>
        </is>
      </c>
      <c r="CR131" s="104" t="inlineStr">
        <is>
          <t>20</t>
        </is>
      </c>
      <c r="CS131" s="105" t="inlineStr">
        <is>
          <t/>
        </is>
      </c>
      <c r="CT131" s="106" t="inlineStr">
        <is>
          <t/>
        </is>
      </c>
      <c r="CU131" s="107" t="inlineStr">
        <is>
          <t>0,00%</t>
        </is>
      </c>
      <c r="CV131" s="108" t="inlineStr">
        <is>
          <t>21</t>
        </is>
      </c>
      <c r="CW131" s="109" t="inlineStr">
        <is>
          <t>1,08x</t>
        </is>
      </c>
      <c r="CX131" s="110" t="inlineStr">
        <is>
          <t>51</t>
        </is>
      </c>
      <c r="CY131" s="111" t="inlineStr">
        <is>
          <t>0,01x</t>
        </is>
      </c>
      <c r="CZ131" s="112" t="inlineStr">
        <is>
          <t>1,22%</t>
        </is>
      </c>
      <c r="DA131" s="113" t="inlineStr">
        <is>
          <t>2,00x</t>
        </is>
      </c>
      <c r="DB131" s="114" t="inlineStr">
        <is>
          <t>67</t>
        </is>
      </c>
      <c r="DC131" s="115" t="inlineStr">
        <is>
          <t>0,16x</t>
        </is>
      </c>
      <c r="DD131" s="116" t="inlineStr">
        <is>
          <t>18</t>
        </is>
      </c>
      <c r="DE131" s="117" t="inlineStr">
        <is>
          <t/>
        </is>
      </c>
      <c r="DF131" s="118" t="inlineStr">
        <is>
          <t/>
        </is>
      </c>
      <c r="DG131" s="119" t="inlineStr">
        <is>
          <t>2,00x</t>
        </is>
      </c>
      <c r="DH131" s="120" t="inlineStr">
        <is>
          <t>65</t>
        </is>
      </c>
      <c r="DI131" s="121" t="inlineStr">
        <is>
          <t/>
        </is>
      </c>
      <c r="DJ131" s="122" t="inlineStr">
        <is>
          <t/>
        </is>
      </c>
      <c r="DK131" s="123" t="inlineStr">
        <is>
          <t>0,16x</t>
        </is>
      </c>
      <c r="DL131" s="124" t="inlineStr">
        <is>
          <t>21</t>
        </is>
      </c>
      <c r="DM131" s="125" t="inlineStr">
        <is>
          <t/>
        </is>
      </c>
      <c r="DN131" s="126" t="inlineStr">
        <is>
          <t/>
        </is>
      </c>
      <c r="DO131" s="127" t="inlineStr">
        <is>
          <t/>
        </is>
      </c>
      <c r="DP131" s="128" t="inlineStr">
        <is>
          <t/>
        </is>
      </c>
      <c r="DQ131" s="129" t="inlineStr">
        <is>
          <t/>
        </is>
      </c>
      <c r="DR131" s="130" t="inlineStr">
        <is>
          <t/>
        </is>
      </c>
      <c r="DS131" s="131" t="inlineStr">
        <is>
          <t>71</t>
        </is>
      </c>
      <c r="DT131" s="132" t="inlineStr">
        <is>
          <t>2</t>
        </is>
      </c>
      <c r="DU131" s="133" t="inlineStr">
        <is>
          <t>2,90%</t>
        </is>
      </c>
      <c r="DV131" s="134" t="inlineStr">
        <is>
          <t>60</t>
        </is>
      </c>
      <c r="DW131" s="135" t="inlineStr">
        <is>
          <t>0</t>
        </is>
      </c>
      <c r="DX131" s="136" t="inlineStr">
        <is>
          <t>0,00%</t>
        </is>
      </c>
      <c r="DY131" s="137" t="inlineStr">
        <is>
          <t>PitchBook Research</t>
        </is>
      </c>
      <c r="DZ131" s="785">
        <f>HYPERLINK("https://my.pitchbook.com?c=186033-79", "View company online")</f>
      </c>
    </row>
    <row r="132">
      <c r="A132" s="139" t="inlineStr">
        <is>
          <t>188036-38</t>
        </is>
      </c>
      <c r="B132" s="140" t="inlineStr">
        <is>
          <t>Vehiculum</t>
        </is>
      </c>
      <c r="C132" s="141" t="inlineStr">
        <is>
          <t/>
        </is>
      </c>
      <c r="D132" s="142" t="inlineStr">
        <is>
          <t/>
        </is>
      </c>
      <c r="E132" s="143" t="inlineStr">
        <is>
          <t>188036-38</t>
        </is>
      </c>
      <c r="F132" s="144" t="inlineStr">
        <is>
          <t>Developer of a platform for vehicle leasing designed to digitize business leasing. The company's platform offers price comparison and simple contract management services, enabling customers to rent the vehicle over a previously determined term for a monthly fee instead of buying a car.</t>
        </is>
      </c>
      <c r="G132" s="145" t="inlineStr">
        <is>
          <t>Consumer Products and Services (B2C)</t>
        </is>
      </c>
      <c r="H132" s="146" t="inlineStr">
        <is>
          <t>Transportation</t>
        </is>
      </c>
      <c r="I132" s="147" t="inlineStr">
        <is>
          <t>Automotive</t>
        </is>
      </c>
      <c r="J132" s="148" t="inlineStr">
        <is>
          <t>Automotive*; Social/Platform Software</t>
        </is>
      </c>
      <c r="K132" s="149" t="inlineStr">
        <is>
          <t>E-Commerce</t>
        </is>
      </c>
      <c r="L132" s="150" t="inlineStr">
        <is>
          <t>Venture Capital-Backed</t>
        </is>
      </c>
      <c r="M132" s="151" t="n">
        <v>3.0</v>
      </c>
      <c r="N132" s="152" t="inlineStr">
        <is>
          <t>Generating Revenue</t>
        </is>
      </c>
      <c r="O132" s="153" t="inlineStr">
        <is>
          <t>Privately Held (backing)</t>
        </is>
      </c>
      <c r="P132" s="154" t="inlineStr">
        <is>
          <t>Venture Capital</t>
        </is>
      </c>
      <c r="Q132" s="155" t="inlineStr">
        <is>
          <t>www.vehiculum.de</t>
        </is>
      </c>
      <c r="R132" s="156" t="n">
        <v>20.0</v>
      </c>
      <c r="S132" s="157" t="inlineStr">
        <is>
          <t/>
        </is>
      </c>
      <c r="T132" s="158" t="inlineStr">
        <is>
          <t/>
        </is>
      </c>
      <c r="U132" s="159" t="n">
        <v>2015.0</v>
      </c>
      <c r="V132" s="160" t="inlineStr">
        <is>
          <t/>
        </is>
      </c>
      <c r="W132" s="161" t="inlineStr">
        <is>
          <t/>
        </is>
      </c>
      <c r="X132" s="162" t="inlineStr">
        <is>
          <t/>
        </is>
      </c>
      <c r="Y132" s="163" t="inlineStr">
        <is>
          <t/>
        </is>
      </c>
      <c r="Z132" s="164" t="inlineStr">
        <is>
          <t/>
        </is>
      </c>
      <c r="AA132" s="165" t="inlineStr">
        <is>
          <t/>
        </is>
      </c>
      <c r="AB132" s="166" t="inlineStr">
        <is>
          <t/>
        </is>
      </c>
      <c r="AC132" s="167" t="inlineStr">
        <is>
          <t/>
        </is>
      </c>
      <c r="AD132" s="168" t="inlineStr">
        <is>
          <t/>
        </is>
      </c>
      <c r="AE132" s="169" t="inlineStr">
        <is>
          <t>172505-80P</t>
        </is>
      </c>
      <c r="AF132" s="170" t="inlineStr">
        <is>
          <t>Guy Moller</t>
        </is>
      </c>
      <c r="AG132" s="171" t="inlineStr">
        <is>
          <t>Chief Technology Officer &amp; Co-Founder</t>
        </is>
      </c>
      <c r="AH132" s="172" t="inlineStr">
        <is>
          <t>g.moller@vehiculum.de</t>
        </is>
      </c>
      <c r="AI132" s="173" t="inlineStr">
        <is>
          <t>+49 (0)30 3406 0341 0</t>
        </is>
      </c>
      <c r="AJ132" s="174" t="inlineStr">
        <is>
          <t>Berlin, Germany</t>
        </is>
      </c>
      <c r="AK132" s="175" t="inlineStr">
        <is>
          <t>Alt Moabit 60A</t>
        </is>
      </c>
      <c r="AL132" s="176" t="inlineStr">
        <is>
          <t/>
        </is>
      </c>
      <c r="AM132" s="177" t="inlineStr">
        <is>
          <t>Berlin</t>
        </is>
      </c>
      <c r="AN132" s="178" t="inlineStr">
        <is>
          <t/>
        </is>
      </c>
      <c r="AO132" s="179" t="inlineStr">
        <is>
          <t>10555</t>
        </is>
      </c>
      <c r="AP132" s="180" t="inlineStr">
        <is>
          <t>Germany</t>
        </is>
      </c>
      <c r="AQ132" s="181" t="inlineStr">
        <is>
          <t>+49 (0)30 3406 0341 0</t>
        </is>
      </c>
      <c r="AR132" s="182" t="inlineStr">
        <is>
          <t/>
        </is>
      </c>
      <c r="AS132" s="183" t="inlineStr">
        <is>
          <t>info@vehiculum.de</t>
        </is>
      </c>
      <c r="AT132" s="184" t="inlineStr">
        <is>
          <t>Europe</t>
        </is>
      </c>
      <c r="AU132" s="185" t="inlineStr">
        <is>
          <t>Western Europe</t>
        </is>
      </c>
      <c r="AV132" s="186" t="inlineStr">
        <is>
          <t>The company raised EUR 2 million of seed funding from Coparion, SchneiderGolling and Oskar Hartmann on October 12, 2017.</t>
        </is>
      </c>
      <c r="AW132" s="187" t="inlineStr">
        <is>
          <t>Andreas Schlegel, Coparion, Michael Kern, Oskar Hartmann, Philipp Kleimann, SchneiderGolling &amp; Cie. Assekuranzmakler</t>
        </is>
      </c>
      <c r="AX132" s="188" t="n">
        <v>6.0</v>
      </c>
      <c r="AY132" s="189" t="inlineStr">
        <is>
          <t/>
        </is>
      </c>
      <c r="AZ132" s="190" t="inlineStr">
        <is>
          <t/>
        </is>
      </c>
      <c r="BA132" s="191" t="inlineStr">
        <is>
          <t/>
        </is>
      </c>
      <c r="BB132" s="192" t="inlineStr">
        <is>
          <t>Coparion (www.coparion.vc), SchneiderGolling &amp; Cie. Assekuranzmakler (www.sgcie.net)</t>
        </is>
      </c>
      <c r="BC132" s="193" t="inlineStr">
        <is>
          <t/>
        </is>
      </c>
      <c r="BD132" s="194" t="inlineStr">
        <is>
          <t/>
        </is>
      </c>
      <c r="BE132" s="195" t="inlineStr">
        <is>
          <t/>
        </is>
      </c>
      <c r="BF132" s="196" t="inlineStr">
        <is>
          <t/>
        </is>
      </c>
      <c r="BG132" s="197" t="n">
        <v>42826.0</v>
      </c>
      <c r="BH132" s="198" t="n">
        <v>1.0</v>
      </c>
      <c r="BI132" s="199" t="inlineStr">
        <is>
          <t>Actual</t>
        </is>
      </c>
      <c r="BJ132" s="200" t="inlineStr">
        <is>
          <t/>
        </is>
      </c>
      <c r="BK132" s="201" t="inlineStr">
        <is>
          <t/>
        </is>
      </c>
      <c r="BL132" s="202" t="inlineStr">
        <is>
          <t>Angel (individual)</t>
        </is>
      </c>
      <c r="BM132" s="203" t="inlineStr">
        <is>
          <t>Angel</t>
        </is>
      </c>
      <c r="BN132" s="204" t="inlineStr">
        <is>
          <t/>
        </is>
      </c>
      <c r="BO132" s="205" t="inlineStr">
        <is>
          <t>Individual</t>
        </is>
      </c>
      <c r="BP132" s="206" t="inlineStr">
        <is>
          <t/>
        </is>
      </c>
      <c r="BQ132" s="207" t="inlineStr">
        <is>
          <t/>
        </is>
      </c>
      <c r="BR132" s="208" t="inlineStr">
        <is>
          <t/>
        </is>
      </c>
      <c r="BS132" s="209" t="inlineStr">
        <is>
          <t>Completed</t>
        </is>
      </c>
      <c r="BT132" s="210" t="n">
        <v>43020.0</v>
      </c>
      <c r="BU132" s="211" t="n">
        <v>2.0</v>
      </c>
      <c r="BV132" s="212" t="inlineStr">
        <is>
          <t>Actual</t>
        </is>
      </c>
      <c r="BW132" s="213" t="inlineStr">
        <is>
          <t/>
        </is>
      </c>
      <c r="BX132" s="214" t="inlineStr">
        <is>
          <t/>
        </is>
      </c>
      <c r="BY132" s="215" t="inlineStr">
        <is>
          <t>Seed Round</t>
        </is>
      </c>
      <c r="BZ132" s="216" t="inlineStr">
        <is>
          <t>Seed</t>
        </is>
      </c>
      <c r="CA132" s="217" t="inlineStr">
        <is>
          <t/>
        </is>
      </c>
      <c r="CB132" s="218" t="inlineStr">
        <is>
          <t>Venture Capital</t>
        </is>
      </c>
      <c r="CC132" s="219" t="inlineStr">
        <is>
          <t/>
        </is>
      </c>
      <c r="CD132" s="220" t="inlineStr">
        <is>
          <t/>
        </is>
      </c>
      <c r="CE132" s="221" t="inlineStr">
        <is>
          <t/>
        </is>
      </c>
      <c r="CF132" s="222" t="inlineStr">
        <is>
          <t>Completed</t>
        </is>
      </c>
      <c r="CG132" s="223" t="inlineStr">
        <is>
          <t>2,83%</t>
        </is>
      </c>
      <c r="CH132" s="224" t="inlineStr">
        <is>
          <t>99</t>
        </is>
      </c>
      <c r="CI132" s="225" t="inlineStr">
        <is>
          <t>1,47%</t>
        </is>
      </c>
      <c r="CJ132" s="226" t="inlineStr">
        <is>
          <t>109,01%</t>
        </is>
      </c>
      <c r="CK132" s="227" t="inlineStr">
        <is>
          <t/>
        </is>
      </c>
      <c r="CL132" s="228" t="inlineStr">
        <is>
          <t/>
        </is>
      </c>
      <c r="CM132" s="229" t="inlineStr">
        <is>
          <t>4,30%</t>
        </is>
      </c>
      <c r="CN132" s="230" t="inlineStr">
        <is>
          <t>100</t>
        </is>
      </c>
      <c r="CO132" s="231" t="inlineStr">
        <is>
          <t/>
        </is>
      </c>
      <c r="CP132" s="232" t="inlineStr">
        <is>
          <t/>
        </is>
      </c>
      <c r="CQ132" s="233" t="inlineStr">
        <is>
          <t/>
        </is>
      </c>
      <c r="CR132" s="234" t="inlineStr">
        <is>
          <t/>
        </is>
      </c>
      <c r="CS132" s="235" t="inlineStr">
        <is>
          <t>4,30%</t>
        </is>
      </c>
      <c r="CT132" s="236" t="inlineStr">
        <is>
          <t>100</t>
        </is>
      </c>
      <c r="CU132" s="237" t="inlineStr">
        <is>
          <t/>
        </is>
      </c>
      <c r="CV132" s="238" t="inlineStr">
        <is>
          <t/>
        </is>
      </c>
      <c r="CW132" s="239" t="inlineStr">
        <is>
          <t>5,34x</t>
        </is>
      </c>
      <c r="CX132" s="240" t="inlineStr">
        <is>
          <t>81</t>
        </is>
      </c>
      <c r="CY132" s="241" t="inlineStr">
        <is>
          <t>5,27x</t>
        </is>
      </c>
      <c r="CZ132" s="242" t="inlineStr">
        <is>
          <t>7.513,12%</t>
        </is>
      </c>
      <c r="DA132" s="243" t="inlineStr">
        <is>
          <t/>
        </is>
      </c>
      <c r="DB132" s="244" t="inlineStr">
        <is>
          <t/>
        </is>
      </c>
      <c r="DC132" s="245" t="inlineStr">
        <is>
          <t>10,61x</t>
        </is>
      </c>
      <c r="DD132" s="246" t="inlineStr">
        <is>
          <t>85</t>
        </is>
      </c>
      <c r="DE132" s="247" t="inlineStr">
        <is>
          <t/>
        </is>
      </c>
      <c r="DF132" s="248" t="inlineStr">
        <is>
          <t/>
        </is>
      </c>
      <c r="DG132" s="249" t="inlineStr">
        <is>
          <t/>
        </is>
      </c>
      <c r="DH132" s="250" t="inlineStr">
        <is>
          <t/>
        </is>
      </c>
      <c r="DI132" s="251" t="inlineStr">
        <is>
          <t>10,61x</t>
        </is>
      </c>
      <c r="DJ132" s="252" t="inlineStr">
        <is>
          <t>82</t>
        </is>
      </c>
      <c r="DK132" s="253" t="inlineStr">
        <is>
          <t/>
        </is>
      </c>
      <c r="DL132" s="254" t="inlineStr">
        <is>
          <t/>
        </is>
      </c>
      <c r="DM132" s="255" t="inlineStr">
        <is>
          <t/>
        </is>
      </c>
      <c r="DN132" s="256" t="inlineStr">
        <is>
          <t/>
        </is>
      </c>
      <c r="DO132" s="257" t="inlineStr">
        <is>
          <t/>
        </is>
      </c>
      <c r="DP132" s="258" t="inlineStr">
        <is>
          <t>8.227</t>
        </is>
      </c>
      <c r="DQ132" s="259" t="inlineStr">
        <is>
          <t>437</t>
        </is>
      </c>
      <c r="DR132" s="260" t="inlineStr">
        <is>
          <t>5,61%</t>
        </is>
      </c>
      <c r="DS132" s="261" t="inlineStr">
        <is>
          <t>52</t>
        </is>
      </c>
      <c r="DT132" s="262" t="inlineStr">
        <is>
          <t>-1</t>
        </is>
      </c>
      <c r="DU132" s="263" t="inlineStr">
        <is>
          <t>-1,89%</t>
        </is>
      </c>
      <c r="DV132" s="264" t="inlineStr">
        <is>
          <t/>
        </is>
      </c>
      <c r="DW132" s="265" t="inlineStr">
        <is>
          <t/>
        </is>
      </c>
      <c r="DX132" s="266" t="inlineStr">
        <is>
          <t/>
        </is>
      </c>
      <c r="DY132" s="267" t="inlineStr">
        <is>
          <t>PitchBook Research</t>
        </is>
      </c>
      <c r="DZ132" s="786">
        <f>HYPERLINK("https://my.pitchbook.com?c=188036-38", "View company online")</f>
      </c>
    </row>
    <row r="133">
      <c r="A133" s="9" t="inlineStr">
        <is>
          <t>171417-16</t>
        </is>
      </c>
      <c r="B133" s="10" t="inlineStr">
        <is>
          <t>DPOrganizer</t>
        </is>
      </c>
      <c r="C133" s="11" t="inlineStr">
        <is>
          <t/>
        </is>
      </c>
      <c r="D133" s="12" t="inlineStr">
        <is>
          <t/>
        </is>
      </c>
      <c r="E133" s="13" t="inlineStr">
        <is>
          <t>171417-16</t>
        </is>
      </c>
      <c r="F133" s="14" t="inlineStr">
        <is>
          <t>Provider of a Web-based software as a service platform intended to help companies with data protection management. The company's web-based software as a service platform provides a single platform to map, visualise, report and manage their processing of personal data and related information, enabling clients with improved control and compliance, reduced risk and more efficient use of internal resources.</t>
        </is>
      </c>
      <c r="G133" s="15" t="inlineStr">
        <is>
          <t>Information Technology</t>
        </is>
      </c>
      <c r="H133" s="16" t="inlineStr">
        <is>
          <t>Software</t>
        </is>
      </c>
      <c r="I133" s="17" t="inlineStr">
        <is>
          <t>Network Management Software</t>
        </is>
      </c>
      <c r="J133" s="18" t="inlineStr">
        <is>
          <t>Network Management Software*; Consulting Services (B2B); Database Software</t>
        </is>
      </c>
      <c r="K133" s="19" t="inlineStr">
        <is>
          <t>SaaS</t>
        </is>
      </c>
      <c r="L133" s="20" t="inlineStr">
        <is>
          <t>Venture Capital-Backed</t>
        </is>
      </c>
      <c r="M133" s="21" t="n">
        <v>3.03</v>
      </c>
      <c r="N133" s="22" t="inlineStr">
        <is>
          <t>Generating Revenue</t>
        </is>
      </c>
      <c r="O133" s="23" t="inlineStr">
        <is>
          <t>Privately Held (backing)</t>
        </is>
      </c>
      <c r="P133" s="24" t="inlineStr">
        <is>
          <t>Venture Capital</t>
        </is>
      </c>
      <c r="Q133" s="25" t="inlineStr">
        <is>
          <t>www.dporganizer.com</t>
        </is>
      </c>
      <c r="R133" s="26" t="n">
        <v>18.0</v>
      </c>
      <c r="S133" s="27" t="inlineStr">
        <is>
          <t/>
        </is>
      </c>
      <c r="T133" s="28" t="inlineStr">
        <is>
          <t/>
        </is>
      </c>
      <c r="U133" s="29" t="n">
        <v>2015.0</v>
      </c>
      <c r="V133" s="30" t="inlineStr">
        <is>
          <t/>
        </is>
      </c>
      <c r="W133" s="31" t="inlineStr">
        <is>
          <r>
            <rPr>
              <b/>
              <color rgb="ff26854d"/>
              <rFont val="Arial"/>
              <sz val="8.0"/>
            </rPr>
            <t>News</t>
          </r>
          <r>
            <rPr>
              <color rgb="ff707070"/>
              <rFont val="Arial"/>
              <sz val="7.0"/>
            </rPr>
            <t xml:space="preserve"> NEW  </t>
          </r>
        </is>
      </c>
      <c r="X133" s="32" t="inlineStr">
        <is>
          <r>
            <rPr>
              <b/>
              <color rgb="ff26854d"/>
              <rFont val="Arial"/>
              <sz val="8.0"/>
            </rPr>
            <t>News</t>
          </r>
          <r>
            <rPr>
              <color rgb="ff707070"/>
              <rFont val="Arial"/>
              <sz val="7.0"/>
            </rPr>
            <t xml:space="preserve"> NEW  </t>
          </r>
        </is>
      </c>
      <c r="Y133" s="33" t="inlineStr">
        <is>
          <t/>
        </is>
      </c>
      <c r="Z133" s="34" t="inlineStr">
        <is>
          <t/>
        </is>
      </c>
      <c r="AA133" s="35" t="inlineStr">
        <is>
          <t/>
        </is>
      </c>
      <c r="AB133" s="36" t="inlineStr">
        <is>
          <t/>
        </is>
      </c>
      <c r="AC133" s="37" t="inlineStr">
        <is>
          <t/>
        </is>
      </c>
      <c r="AD133" s="38" t="inlineStr">
        <is>
          <t/>
        </is>
      </c>
      <c r="AE133" s="39" t="inlineStr">
        <is>
          <t>161501-86P</t>
        </is>
      </c>
      <c r="AF133" s="40" t="inlineStr">
        <is>
          <t>Egil Bergenlind</t>
        </is>
      </c>
      <c r="AG133" s="41" t="inlineStr">
        <is>
          <t>Co-Founder &amp; Chief Executive Officer</t>
        </is>
      </c>
      <c r="AH133" s="42" t="inlineStr">
        <is>
          <t>egil.bergenlind@dporganizer.com</t>
        </is>
      </c>
      <c r="AI133" s="43" t="inlineStr">
        <is>
          <t>+46-707-259 709</t>
        </is>
      </c>
      <c r="AJ133" s="44" t="inlineStr">
        <is>
          <t>Stockholm, Sweden</t>
        </is>
      </c>
      <c r="AK133" s="45" t="inlineStr">
        <is>
          <t>Centralplan 15, 1tr</t>
        </is>
      </c>
      <c r="AL133" s="46" t="inlineStr">
        <is>
          <t/>
        </is>
      </c>
      <c r="AM133" s="47" t="inlineStr">
        <is>
          <t>Stockholm</t>
        </is>
      </c>
      <c r="AN133" s="48" t="inlineStr">
        <is>
          <t/>
        </is>
      </c>
      <c r="AO133" s="49" t="inlineStr">
        <is>
          <t>111 20</t>
        </is>
      </c>
      <c r="AP133" s="50" t="inlineStr">
        <is>
          <t>Sweden</t>
        </is>
      </c>
      <c r="AQ133" s="51" t="inlineStr">
        <is>
          <t>+46 (0)8 121 480 25</t>
        </is>
      </c>
      <c r="AR133" s="52" t="inlineStr">
        <is>
          <t/>
        </is>
      </c>
      <c r="AS133" s="53" t="inlineStr">
        <is>
          <t>hello@dporganizer.com</t>
        </is>
      </c>
      <c r="AT133" s="54" t="inlineStr">
        <is>
          <t>Europe</t>
        </is>
      </c>
      <c r="AU133" s="55" t="inlineStr">
        <is>
          <t>Northern Europe</t>
        </is>
      </c>
      <c r="AV133" s="56" t="inlineStr">
        <is>
          <t>The company raised EUR 3 million of venture funding from lead investor Industrifonden on November 28, 2017. Inbox Capital, Creades, Soläng Invest and other undisclosed investors also participated. The funds will be used primarily to expand the company's sales in Europe.</t>
        </is>
      </c>
      <c r="AW133" s="57" t="inlineStr">
        <is>
          <t>Creades, Inbox Capital, Industrifonden, Soläng Invest, Stockholm Innovation &amp; Growth, SUP46</t>
        </is>
      </c>
      <c r="AX133" s="58" t="n">
        <v>6.0</v>
      </c>
      <c r="AY133" s="59" t="inlineStr">
        <is>
          <t/>
        </is>
      </c>
      <c r="AZ133" s="60" t="inlineStr">
        <is>
          <t/>
        </is>
      </c>
      <c r="BA133" s="61" t="inlineStr">
        <is>
          <t/>
        </is>
      </c>
      <c r="BB133" s="62" t="inlineStr">
        <is>
          <t>Creades (www.creades.se), Industrifonden (www.industrifonden.com), Stockholm Innovation &amp; Growth (www.sting.co), SUP46 (www.SUP46.com)</t>
        </is>
      </c>
      <c r="BC133" s="63" t="inlineStr">
        <is>
          <t/>
        </is>
      </c>
      <c r="BD133" s="64" t="inlineStr">
        <is>
          <t/>
        </is>
      </c>
      <c r="BE133" s="65" t="inlineStr">
        <is>
          <t/>
        </is>
      </c>
      <c r="BF133" s="66" t="inlineStr">
        <is>
          <t>Synch Advokat (Legal Advisor)</t>
        </is>
      </c>
      <c r="BG133" s="67" t="n">
        <v>42611.0</v>
      </c>
      <c r="BH133" s="68" t="n">
        <v>0.03</v>
      </c>
      <c r="BI133" s="69" t="inlineStr">
        <is>
          <t>Actual</t>
        </is>
      </c>
      <c r="BJ133" s="70" t="inlineStr">
        <is>
          <t/>
        </is>
      </c>
      <c r="BK133" s="71" t="inlineStr">
        <is>
          <t/>
        </is>
      </c>
      <c r="BL133" s="72" t="inlineStr">
        <is>
          <t>Accelerator/Incubator</t>
        </is>
      </c>
      <c r="BM133" s="73" t="inlineStr">
        <is>
          <t/>
        </is>
      </c>
      <c r="BN133" s="74" t="inlineStr">
        <is>
          <t/>
        </is>
      </c>
      <c r="BO133" s="75" t="inlineStr">
        <is>
          <t>Other</t>
        </is>
      </c>
      <c r="BP133" s="76" t="inlineStr">
        <is>
          <t/>
        </is>
      </c>
      <c r="BQ133" s="77" t="inlineStr">
        <is>
          <t/>
        </is>
      </c>
      <c r="BR133" s="78" t="inlineStr">
        <is>
          <t/>
        </is>
      </c>
      <c r="BS133" s="79" t="inlineStr">
        <is>
          <t>Completed</t>
        </is>
      </c>
      <c r="BT133" s="80" t="n">
        <v>43067.0</v>
      </c>
      <c r="BU133" s="81" t="n">
        <v>3.0</v>
      </c>
      <c r="BV133" s="82" t="inlineStr">
        <is>
          <t>Actual</t>
        </is>
      </c>
      <c r="BW133" s="83" t="inlineStr">
        <is>
          <t/>
        </is>
      </c>
      <c r="BX133" s="84" t="inlineStr">
        <is>
          <t/>
        </is>
      </c>
      <c r="BY133" s="85" t="inlineStr">
        <is>
          <t>Early Stage VC</t>
        </is>
      </c>
      <c r="BZ133" s="86" t="inlineStr">
        <is>
          <t>Series A</t>
        </is>
      </c>
      <c r="CA133" s="87" t="inlineStr">
        <is>
          <t/>
        </is>
      </c>
      <c r="CB133" s="88" t="inlineStr">
        <is>
          <t>Venture Capital</t>
        </is>
      </c>
      <c r="CC133" s="89" t="inlineStr">
        <is>
          <t/>
        </is>
      </c>
      <c r="CD133" s="90" t="inlineStr">
        <is>
          <t/>
        </is>
      </c>
      <c r="CE133" s="91" t="inlineStr">
        <is>
          <t/>
        </is>
      </c>
      <c r="CF133" s="92" t="inlineStr">
        <is>
          <t>Completed</t>
        </is>
      </c>
      <c r="CG133" s="93" t="inlineStr">
        <is>
          <t>2,26%</t>
        </is>
      </c>
      <c r="CH133" s="94" t="inlineStr">
        <is>
          <t>98</t>
        </is>
      </c>
      <c r="CI133" s="95" t="inlineStr">
        <is>
          <t>0,35%</t>
        </is>
      </c>
      <c r="CJ133" s="96" t="inlineStr">
        <is>
          <t>18,42%</t>
        </is>
      </c>
      <c r="CK133" s="97" t="inlineStr">
        <is>
          <t>2,88%</t>
        </is>
      </c>
      <c r="CL133" s="98" t="inlineStr">
        <is>
          <t>98</t>
        </is>
      </c>
      <c r="CM133" s="99" t="inlineStr">
        <is>
          <t>1,64%</t>
        </is>
      </c>
      <c r="CN133" s="100" t="inlineStr">
        <is>
          <t>98</t>
        </is>
      </c>
      <c r="CO133" s="101" t="inlineStr">
        <is>
          <t>5,76%</t>
        </is>
      </c>
      <c r="CP133" s="102" t="inlineStr">
        <is>
          <t>99</t>
        </is>
      </c>
      <c r="CQ133" s="103" t="inlineStr">
        <is>
          <t>0,00%</t>
        </is>
      </c>
      <c r="CR133" s="104" t="inlineStr">
        <is>
          <t>20</t>
        </is>
      </c>
      <c r="CS133" s="105" t="inlineStr">
        <is>
          <t>3,28%</t>
        </is>
      </c>
      <c r="CT133" s="106" t="inlineStr">
        <is>
          <t>99</t>
        </is>
      </c>
      <c r="CU133" s="107" t="inlineStr">
        <is>
          <t>0,00%</t>
        </is>
      </c>
      <c r="CV133" s="108" t="inlineStr">
        <is>
          <t>21</t>
        </is>
      </c>
      <c r="CW133" s="109" t="inlineStr">
        <is>
          <t>2,15x</t>
        </is>
      </c>
      <c r="CX133" s="110" t="inlineStr">
        <is>
          <t>66</t>
        </is>
      </c>
      <c r="CY133" s="111" t="inlineStr">
        <is>
          <t>0,00x</t>
        </is>
      </c>
      <c r="CZ133" s="112" t="inlineStr">
        <is>
          <t>0,19%</t>
        </is>
      </c>
      <c r="DA133" s="113" t="inlineStr">
        <is>
          <t>4,12x</t>
        </is>
      </c>
      <c r="DB133" s="114" t="inlineStr">
        <is>
          <t>79</t>
        </is>
      </c>
      <c r="DC133" s="115" t="inlineStr">
        <is>
          <t>0,17x</t>
        </is>
      </c>
      <c r="DD133" s="116" t="inlineStr">
        <is>
          <t>19</t>
        </is>
      </c>
      <c r="DE133" s="117" t="inlineStr">
        <is>
          <t>6,89x</t>
        </is>
      </c>
      <c r="DF133" s="118" t="inlineStr">
        <is>
          <t>84</t>
        </is>
      </c>
      <c r="DG133" s="119" t="inlineStr">
        <is>
          <t>1,36x</t>
        </is>
      </c>
      <c r="DH133" s="120" t="inlineStr">
        <is>
          <t>57</t>
        </is>
      </c>
      <c r="DI133" s="121" t="inlineStr">
        <is>
          <t>0,20x</t>
        </is>
      </c>
      <c r="DJ133" s="122" t="inlineStr">
        <is>
          <t>23</t>
        </is>
      </c>
      <c r="DK133" s="123" t="inlineStr">
        <is>
          <t>0,14x</t>
        </is>
      </c>
      <c r="DL133" s="124" t="inlineStr">
        <is>
          <t>20</t>
        </is>
      </c>
      <c r="DM133" s="125" t="inlineStr">
        <is>
          <t>2.461</t>
        </is>
      </c>
      <c r="DN133" s="126" t="inlineStr">
        <is>
          <t>281</t>
        </is>
      </c>
      <c r="DO133" s="127" t="inlineStr">
        <is>
          <t>12,89%</t>
        </is>
      </c>
      <c r="DP133" s="128" t="inlineStr">
        <is>
          <t>157</t>
        </is>
      </c>
      <c r="DQ133" s="129" t="inlineStr">
        <is>
          <t>19</t>
        </is>
      </c>
      <c r="DR133" s="130" t="inlineStr">
        <is>
          <t>13,77%</t>
        </is>
      </c>
      <c r="DS133" s="131" t="inlineStr">
        <is>
          <t>49</t>
        </is>
      </c>
      <c r="DT133" s="132" t="inlineStr">
        <is>
          <t>0</t>
        </is>
      </c>
      <c r="DU133" s="133" t="inlineStr">
        <is>
          <t>0,00%</t>
        </is>
      </c>
      <c r="DV133" s="134" t="inlineStr">
        <is>
          <t>53</t>
        </is>
      </c>
      <c r="DW133" s="135" t="inlineStr">
        <is>
          <t>2</t>
        </is>
      </c>
      <c r="DX133" s="136" t="inlineStr">
        <is>
          <t>3,92%</t>
        </is>
      </c>
      <c r="DY133" s="137" t="inlineStr">
        <is>
          <t>PitchBook Research</t>
        </is>
      </c>
      <c r="DZ133" s="785">
        <f>HYPERLINK("https://my.pitchbook.com?c=171417-16", "View company online")</f>
      </c>
    </row>
    <row r="134">
      <c r="A134" s="139" t="inlineStr">
        <is>
          <t>103077-73</t>
        </is>
      </c>
      <c r="B134" s="140" t="inlineStr">
        <is>
          <t>sevDesk</t>
        </is>
      </c>
      <c r="C134" s="141" t="inlineStr">
        <is>
          <t/>
        </is>
      </c>
      <c r="D134" s="142" t="inlineStr">
        <is>
          <t/>
        </is>
      </c>
      <c r="E134" s="143" t="inlineStr">
        <is>
          <t>103077-73</t>
        </is>
      </c>
      <c r="F134" s="144" t="inlineStr">
        <is>
          <t>Developer of a cloud-based smart accounting software created to change the way small business do accounting. The company's smart accounting software uses artificial intelligence to scan and automatically manage all documents by means of an app, whether for single or double bookkeeping, it generates revenue surplus without a tax consultant, it manages all the Cashbook, reporting, customer and calculates the Profit and Loss automatically, enabling self-employed and small businesses to easily and cheaply complete their entire accounting online.</t>
        </is>
      </c>
      <c r="G134" s="145" t="inlineStr">
        <is>
          <t>Information Technology</t>
        </is>
      </c>
      <c r="H134" s="146" t="inlineStr">
        <is>
          <t>Software</t>
        </is>
      </c>
      <c r="I134" s="147" t="inlineStr">
        <is>
          <t>Automation/Workflow Software</t>
        </is>
      </c>
      <c r="J134" s="148" t="inlineStr">
        <is>
          <t>Automation/Workflow Software*</t>
        </is>
      </c>
      <c r="K134" s="149" t="inlineStr">
        <is>
          <t>FinTech, Mobile, SaaS</t>
        </is>
      </c>
      <c r="L134" s="150" t="inlineStr">
        <is>
          <t>Venture Capital-Backed</t>
        </is>
      </c>
      <c r="M134" s="151" t="n">
        <v>3.1</v>
      </c>
      <c r="N134" s="152" t="inlineStr">
        <is>
          <t>Generating Revenue</t>
        </is>
      </c>
      <c r="O134" s="153" t="inlineStr">
        <is>
          <t>Privately Held (backing)</t>
        </is>
      </c>
      <c r="P134" s="154" t="inlineStr">
        <is>
          <t>Venture Capital</t>
        </is>
      </c>
      <c r="Q134" s="155" t="inlineStr">
        <is>
          <t>sevdesk.de</t>
        </is>
      </c>
      <c r="R134" s="156" t="n">
        <v>42.0</v>
      </c>
      <c r="S134" s="157" t="inlineStr">
        <is>
          <t/>
        </is>
      </c>
      <c r="T134" s="158" t="inlineStr">
        <is>
          <t/>
        </is>
      </c>
      <c r="U134" s="159" t="n">
        <v>2013.0</v>
      </c>
      <c r="V134" s="160" t="inlineStr">
        <is>
          <t/>
        </is>
      </c>
      <c r="W134" s="161" t="inlineStr">
        <is>
          <t/>
        </is>
      </c>
      <c r="X134" s="162" t="inlineStr">
        <is>
          <t/>
        </is>
      </c>
      <c r="Y134" s="163" t="inlineStr">
        <is>
          <t/>
        </is>
      </c>
      <c r="Z134" s="164" t="inlineStr">
        <is>
          <t/>
        </is>
      </c>
      <c r="AA134" s="165" t="inlineStr">
        <is>
          <t/>
        </is>
      </c>
      <c r="AB134" s="166" t="inlineStr">
        <is>
          <t/>
        </is>
      </c>
      <c r="AC134" s="167" t="inlineStr">
        <is>
          <t/>
        </is>
      </c>
      <c r="AD134" s="168" t="inlineStr">
        <is>
          <t/>
        </is>
      </c>
      <c r="AE134" s="169" t="inlineStr">
        <is>
          <t>171468-37P</t>
        </is>
      </c>
      <c r="AF134" s="170" t="inlineStr">
        <is>
          <t>Fabian Silberer</t>
        </is>
      </c>
      <c r="AG134" s="171" t="inlineStr">
        <is>
          <t>Chief Executive Officer &amp; Co-Founder</t>
        </is>
      </c>
      <c r="AH134" s="172" t="inlineStr">
        <is>
          <t>fabian@sevdesk.de</t>
        </is>
      </c>
      <c r="AI134" s="173" t="inlineStr">
        <is>
          <t>+49 (0)78 1125 5080</t>
        </is>
      </c>
      <c r="AJ134" s="174" t="inlineStr">
        <is>
          <t>Offenburg, Germany</t>
        </is>
      </c>
      <c r="AK134" s="175" t="inlineStr">
        <is>
          <t>Hauptstraße 40</t>
        </is>
      </c>
      <c r="AL134" s="176" t="inlineStr">
        <is>
          <t/>
        </is>
      </c>
      <c r="AM134" s="177" t="inlineStr">
        <is>
          <t>Offenburg</t>
        </is>
      </c>
      <c r="AN134" s="178" t="inlineStr">
        <is>
          <t/>
        </is>
      </c>
      <c r="AO134" s="179" t="inlineStr">
        <is>
          <t>77652</t>
        </is>
      </c>
      <c r="AP134" s="180" t="inlineStr">
        <is>
          <t>Germany</t>
        </is>
      </c>
      <c r="AQ134" s="181" t="inlineStr">
        <is>
          <t>+49 (0)78 1125 5080</t>
        </is>
      </c>
      <c r="AR134" s="182" t="inlineStr">
        <is>
          <t>+49 (0)78 1125 5089</t>
        </is>
      </c>
      <c r="AS134" s="183" t="inlineStr">
        <is>
          <t>info@sevenit.de</t>
        </is>
      </c>
      <c r="AT134" s="184" t="inlineStr">
        <is>
          <t>Europe</t>
        </is>
      </c>
      <c r="AU134" s="185" t="inlineStr">
        <is>
          <t>Western Europe</t>
        </is>
      </c>
      <c r="AV134" s="186" t="inlineStr">
        <is>
          <t>The company raised EUR 3.1 million of Series A funding led by LEA Partners and Wecken &amp; Cie on September 5, 2017. VC Fonds BW and the MBG also participated in the round. The funds will be used to establish the company internationally and part of the financing goes into the optimization of the artificial intelligence and the machine learning.</t>
        </is>
      </c>
      <c r="AW134" s="187" t="inlineStr">
        <is>
          <t>Baden-Württemberg, LEA Partners, Mittelständische Beteiligungsgesellschaft Berlin-Brandenburg, Wecken &amp; Cie</t>
        </is>
      </c>
      <c r="AX134" s="188" t="n">
        <v>4.0</v>
      </c>
      <c r="AY134" s="189" t="inlineStr">
        <is>
          <t/>
        </is>
      </c>
      <c r="AZ134" s="190" t="inlineStr">
        <is>
          <t/>
        </is>
      </c>
      <c r="BA134" s="191" t="inlineStr">
        <is>
          <t/>
        </is>
      </c>
      <c r="BB134" s="192" t="inlineStr">
        <is>
          <t>Baden-Württemberg (www.baden-wuerttemberg.de), LEA Partners (www.leapartners.de), Mittelständische Beteiligungsgesellschaft Berlin-Brandenburg (www.mbg-bb.de)</t>
        </is>
      </c>
      <c r="BC134" s="193" t="inlineStr">
        <is>
          <t/>
        </is>
      </c>
      <c r="BD134" s="194" t="inlineStr">
        <is>
          <t/>
        </is>
      </c>
      <c r="BE134" s="195" t="inlineStr">
        <is>
          <t/>
        </is>
      </c>
      <c r="BF134" s="196" t="inlineStr">
        <is>
          <t/>
        </is>
      </c>
      <c r="BG134" s="197" t="n">
        <v>42983.0</v>
      </c>
      <c r="BH134" s="198" t="n">
        <v>3.1</v>
      </c>
      <c r="BI134" s="199" t="inlineStr">
        <is>
          <t>Actual</t>
        </is>
      </c>
      <c r="BJ134" s="200" t="inlineStr">
        <is>
          <t/>
        </is>
      </c>
      <c r="BK134" s="201" t="inlineStr">
        <is>
          <t/>
        </is>
      </c>
      <c r="BL134" s="202" t="inlineStr">
        <is>
          <t>Early Stage VC</t>
        </is>
      </c>
      <c r="BM134" s="203" t="inlineStr">
        <is>
          <t>Series A</t>
        </is>
      </c>
      <c r="BN134" s="204" t="inlineStr">
        <is>
          <t/>
        </is>
      </c>
      <c r="BO134" s="205" t="inlineStr">
        <is>
          <t>Venture Capital</t>
        </is>
      </c>
      <c r="BP134" s="206" t="inlineStr">
        <is>
          <t/>
        </is>
      </c>
      <c r="BQ134" s="207" t="inlineStr">
        <is>
          <t/>
        </is>
      </c>
      <c r="BR134" s="208" t="inlineStr">
        <is>
          <t/>
        </is>
      </c>
      <c r="BS134" s="209" t="inlineStr">
        <is>
          <t>Completed</t>
        </is>
      </c>
      <c r="BT134" s="210" t="n">
        <v>42983.0</v>
      </c>
      <c r="BU134" s="211" t="n">
        <v>3.1</v>
      </c>
      <c r="BV134" s="212" t="inlineStr">
        <is>
          <t>Actual</t>
        </is>
      </c>
      <c r="BW134" s="213" t="inlineStr">
        <is>
          <t/>
        </is>
      </c>
      <c r="BX134" s="214" t="inlineStr">
        <is>
          <t/>
        </is>
      </c>
      <c r="BY134" s="215" t="inlineStr">
        <is>
          <t>Early Stage VC</t>
        </is>
      </c>
      <c r="BZ134" s="216" t="inlineStr">
        <is>
          <t>Series A</t>
        </is>
      </c>
      <c r="CA134" s="217" t="inlineStr">
        <is>
          <t/>
        </is>
      </c>
      <c r="CB134" s="218" t="inlineStr">
        <is>
          <t>Venture Capital</t>
        </is>
      </c>
      <c r="CC134" s="219" t="inlineStr">
        <is>
          <t/>
        </is>
      </c>
      <c r="CD134" s="220" t="inlineStr">
        <is>
          <t/>
        </is>
      </c>
      <c r="CE134" s="221" t="inlineStr">
        <is>
          <t/>
        </is>
      </c>
      <c r="CF134" s="222" t="inlineStr">
        <is>
          <t>Completed</t>
        </is>
      </c>
      <c r="CG134" s="223" t="inlineStr">
        <is>
          <t>0,41%</t>
        </is>
      </c>
      <c r="CH134" s="224" t="inlineStr">
        <is>
          <t>91</t>
        </is>
      </c>
      <c r="CI134" s="225" t="inlineStr">
        <is>
          <t>-0,08%</t>
        </is>
      </c>
      <c r="CJ134" s="226" t="inlineStr">
        <is>
          <t>-16,53%</t>
        </is>
      </c>
      <c r="CK134" s="227" t="inlineStr">
        <is>
          <t>0,00%</t>
        </is>
      </c>
      <c r="CL134" s="228" t="inlineStr">
        <is>
          <t>28</t>
        </is>
      </c>
      <c r="CM134" s="229" t="inlineStr">
        <is>
          <t>0,28%</t>
        </is>
      </c>
      <c r="CN134" s="230" t="inlineStr">
        <is>
          <t>78</t>
        </is>
      </c>
      <c r="CO134" s="231" t="inlineStr">
        <is>
          <t/>
        </is>
      </c>
      <c r="CP134" s="232" t="inlineStr">
        <is>
          <t/>
        </is>
      </c>
      <c r="CQ134" s="233" t="inlineStr">
        <is>
          <t>0,00%</t>
        </is>
      </c>
      <c r="CR134" s="234" t="inlineStr">
        <is>
          <t>20</t>
        </is>
      </c>
      <c r="CS134" s="235" t="inlineStr">
        <is>
          <t>0,57%</t>
        </is>
      </c>
      <c r="CT134" s="236" t="inlineStr">
        <is>
          <t>89</t>
        </is>
      </c>
      <c r="CU134" s="237" t="inlineStr">
        <is>
          <t>-0,01%</t>
        </is>
      </c>
      <c r="CV134" s="238" t="inlineStr">
        <is>
          <t>20</t>
        </is>
      </c>
      <c r="CW134" s="239" t="inlineStr">
        <is>
          <t>4,11x</t>
        </is>
      </c>
      <c r="CX134" s="240" t="inlineStr">
        <is>
          <t>77</t>
        </is>
      </c>
      <c r="CY134" s="241" t="inlineStr">
        <is>
          <t>2,54x</t>
        </is>
      </c>
      <c r="CZ134" s="242" t="inlineStr">
        <is>
          <t>161,12%</t>
        </is>
      </c>
      <c r="DA134" s="243" t="inlineStr">
        <is>
          <t>2,67x</t>
        </is>
      </c>
      <c r="DB134" s="244" t="inlineStr">
        <is>
          <t>72</t>
        </is>
      </c>
      <c r="DC134" s="245" t="inlineStr">
        <is>
          <t>9,52x</t>
        </is>
      </c>
      <c r="DD134" s="246" t="inlineStr">
        <is>
          <t>84</t>
        </is>
      </c>
      <c r="DE134" s="247" t="inlineStr">
        <is>
          <t/>
        </is>
      </c>
      <c r="DF134" s="248" t="inlineStr">
        <is>
          <t/>
        </is>
      </c>
      <c r="DG134" s="249" t="inlineStr">
        <is>
          <t>2,67x</t>
        </is>
      </c>
      <c r="DH134" s="250" t="inlineStr">
        <is>
          <t>70</t>
        </is>
      </c>
      <c r="DI134" s="251" t="inlineStr">
        <is>
          <t>16,09x</t>
        </is>
      </c>
      <c r="DJ134" s="252" t="inlineStr">
        <is>
          <t>85</t>
        </is>
      </c>
      <c r="DK134" s="253" t="inlineStr">
        <is>
          <t>2,96x</t>
        </is>
      </c>
      <c r="DL134" s="254" t="inlineStr">
        <is>
          <t>71</t>
        </is>
      </c>
      <c r="DM134" s="255" t="inlineStr">
        <is>
          <t/>
        </is>
      </c>
      <c r="DN134" s="256" t="inlineStr">
        <is>
          <t/>
        </is>
      </c>
      <c r="DO134" s="257" t="inlineStr">
        <is>
          <t/>
        </is>
      </c>
      <c r="DP134" s="258" t="inlineStr">
        <is>
          <t>12.593</t>
        </is>
      </c>
      <c r="DQ134" s="259" t="inlineStr">
        <is>
          <t>187</t>
        </is>
      </c>
      <c r="DR134" s="260" t="inlineStr">
        <is>
          <t>1,51%</t>
        </is>
      </c>
      <c r="DS134" s="261" t="inlineStr">
        <is>
          <t>96</t>
        </is>
      </c>
      <c r="DT134" s="262" t="inlineStr">
        <is>
          <t>0</t>
        </is>
      </c>
      <c r="DU134" s="263" t="inlineStr">
        <is>
          <t>0,00%</t>
        </is>
      </c>
      <c r="DV134" s="264" t="inlineStr">
        <is>
          <t>1.109</t>
        </is>
      </c>
      <c r="DW134" s="265" t="inlineStr">
        <is>
          <t>-3</t>
        </is>
      </c>
      <c r="DX134" s="266" t="inlineStr">
        <is>
          <t>-0,27%</t>
        </is>
      </c>
      <c r="DY134" s="267" t="inlineStr">
        <is>
          <t>PitchBook Research</t>
        </is>
      </c>
      <c r="DZ134" s="786">
        <f>HYPERLINK("https://my.pitchbook.com?c=103077-73", "View company online")</f>
      </c>
    </row>
    <row r="135">
      <c r="A135" s="9" t="inlineStr">
        <is>
          <t>149279-32</t>
        </is>
      </c>
      <c r="B135" s="10" t="inlineStr">
        <is>
          <t>Ryte</t>
        </is>
      </c>
      <c r="C135" s="11" t="inlineStr">
        <is>
          <t>OnPage.org</t>
        </is>
      </c>
      <c r="D135" s="12" t="inlineStr">
        <is>
          <t/>
        </is>
      </c>
      <c r="E135" s="13" t="inlineStr">
        <is>
          <t>149279-32</t>
        </is>
      </c>
      <c r="F135" s="14" t="inlineStr">
        <is>
          <t>Developer of a SaaS based B2B software designed to analyze and optimize digital assets. The company's B2B software is a search engine optimization tool that identifies bugs and errors in search engines enabling enterprises to improve their websites code quality in order to raise usability, compatibility and crawlability and finally to increase revenues.</t>
        </is>
      </c>
      <c r="G135" s="15" t="inlineStr">
        <is>
          <t>Information Technology</t>
        </is>
      </c>
      <c r="H135" s="16" t="inlineStr">
        <is>
          <t>Software</t>
        </is>
      </c>
      <c r="I135" s="17" t="inlineStr">
        <is>
          <t>Business/Productivity Software</t>
        </is>
      </c>
      <c r="J135" s="18" t="inlineStr">
        <is>
          <t>Business/Productivity Software*</t>
        </is>
      </c>
      <c r="K135" s="19" t="inlineStr">
        <is>
          <t>SaaS</t>
        </is>
      </c>
      <c r="L135" s="20" t="inlineStr">
        <is>
          <t>Venture Capital-Backed</t>
        </is>
      </c>
      <c r="M135" s="21" t="n">
        <v>3.1</v>
      </c>
      <c r="N135" s="22" t="inlineStr">
        <is>
          <t>Generating Revenue</t>
        </is>
      </c>
      <c r="O135" s="23" t="inlineStr">
        <is>
          <t>Privately Held (backing)</t>
        </is>
      </c>
      <c r="P135" s="24" t="inlineStr">
        <is>
          <t>Venture Capital</t>
        </is>
      </c>
      <c r="Q135" s="25" t="inlineStr">
        <is>
          <t>en.ryte.com</t>
        </is>
      </c>
      <c r="R135" s="26" t="n">
        <v>62.0</v>
      </c>
      <c r="S135" s="27" t="inlineStr">
        <is>
          <t/>
        </is>
      </c>
      <c r="T135" s="28" t="inlineStr">
        <is>
          <t/>
        </is>
      </c>
      <c r="U135" s="29" t="n">
        <v>2012.0</v>
      </c>
      <c r="V135" s="30" t="inlineStr">
        <is>
          <t/>
        </is>
      </c>
      <c r="W135" s="31" t="inlineStr">
        <is>
          <t/>
        </is>
      </c>
      <c r="X135" s="32" t="inlineStr">
        <is>
          <t/>
        </is>
      </c>
      <c r="Y135" s="33" t="n">
        <v>1.93999</v>
      </c>
      <c r="Z135" s="34" t="inlineStr">
        <is>
          <t/>
        </is>
      </c>
      <c r="AA135" s="35" t="inlineStr">
        <is>
          <t/>
        </is>
      </c>
      <c r="AB135" s="36" t="inlineStr">
        <is>
          <t/>
        </is>
      </c>
      <c r="AC135" s="37" t="inlineStr">
        <is>
          <t/>
        </is>
      </c>
      <c r="AD135" s="38" t="inlineStr">
        <is>
          <t>FY 2014</t>
        </is>
      </c>
      <c r="AE135" s="39" t="inlineStr">
        <is>
          <t>130845-70P</t>
        </is>
      </c>
      <c r="AF135" s="40" t="inlineStr">
        <is>
          <t>Marcus Tandler</t>
        </is>
      </c>
      <c r="AG135" s="41" t="inlineStr">
        <is>
          <t>Co-Founder, Marketing &amp; Brand &amp; Managing Director</t>
        </is>
      </c>
      <c r="AH135" s="42" t="inlineStr">
        <is>
          <t>marcus@onpage.org</t>
        </is>
      </c>
      <c r="AI135" s="43" t="inlineStr">
        <is>
          <t>+49 (0)14 1590 6518 0</t>
        </is>
      </c>
      <c r="AJ135" s="44" t="inlineStr">
        <is>
          <t>Munich, Germany</t>
        </is>
      </c>
      <c r="AK135" s="45" t="inlineStr">
        <is>
          <t>Paul-Heyse-Strasse 27</t>
        </is>
      </c>
      <c r="AL135" s="46" t="inlineStr">
        <is>
          <t/>
        </is>
      </c>
      <c r="AM135" s="47" t="inlineStr">
        <is>
          <t>Munich</t>
        </is>
      </c>
      <c r="AN135" s="48" t="inlineStr">
        <is>
          <t/>
        </is>
      </c>
      <c r="AO135" s="49" t="inlineStr">
        <is>
          <t>80336</t>
        </is>
      </c>
      <c r="AP135" s="50" t="inlineStr">
        <is>
          <t>Germany</t>
        </is>
      </c>
      <c r="AQ135" s="51" t="inlineStr">
        <is>
          <t>+49 (0)14 1590 6518 0</t>
        </is>
      </c>
      <c r="AR135" s="52" t="inlineStr">
        <is>
          <t>+49 (0)89 4161 1511 9</t>
        </is>
      </c>
      <c r="AS135" s="53" t="inlineStr">
        <is>
          <t>info@ryte.com</t>
        </is>
      </c>
      <c r="AT135" s="54" t="inlineStr">
        <is>
          <t>Europe</t>
        </is>
      </c>
      <c r="AU135" s="55" t="inlineStr">
        <is>
          <t>Western Europe</t>
        </is>
      </c>
      <c r="AV135" s="56" t="inlineStr">
        <is>
          <t>The company raised EUR 3.1 million of venture funding from Senovo, Surplus Invest and Pd ventures on September 21, 2017. The company intends to use the funds to improve and further develop their products and increase their presence internationally.</t>
        </is>
      </c>
      <c r="AW135" s="57" t="inlineStr">
        <is>
          <t>German Accelerator, Pd ventures, Senovo, Surplus Invest</t>
        </is>
      </c>
      <c r="AX135" s="58" t="n">
        <v>4.0</v>
      </c>
      <c r="AY135" s="59" t="inlineStr">
        <is>
          <t/>
        </is>
      </c>
      <c r="AZ135" s="60" t="inlineStr">
        <is>
          <t/>
        </is>
      </c>
      <c r="BA135" s="61" t="inlineStr">
        <is>
          <t/>
        </is>
      </c>
      <c r="BB135" s="62" t="inlineStr">
        <is>
          <t>German Accelerator (www.germanaccelerator.com), Pd ventures (www.pdventures.de), Senovo (www.senovo.vc), Surplus Invest (www.surplusinvest.vc)</t>
        </is>
      </c>
      <c r="BC135" s="63" t="inlineStr">
        <is>
          <t/>
        </is>
      </c>
      <c r="BD135" s="64" t="inlineStr">
        <is>
          <t/>
        </is>
      </c>
      <c r="BE135" s="65" t="inlineStr">
        <is>
          <t/>
        </is>
      </c>
      <c r="BF135" s="66" t="inlineStr">
        <is>
          <t/>
        </is>
      </c>
      <c r="BG135" s="67" t="n">
        <v>41775.0</v>
      </c>
      <c r="BH135" s="68" t="inlineStr">
        <is>
          <t/>
        </is>
      </c>
      <c r="BI135" s="69" t="inlineStr">
        <is>
          <t/>
        </is>
      </c>
      <c r="BJ135" s="70" t="inlineStr">
        <is>
          <t/>
        </is>
      </c>
      <c r="BK135" s="71" t="inlineStr">
        <is>
          <t/>
        </is>
      </c>
      <c r="BL135" s="72" t="inlineStr">
        <is>
          <t>Accelerator/Incubator</t>
        </is>
      </c>
      <c r="BM135" s="73" t="inlineStr">
        <is>
          <t/>
        </is>
      </c>
      <c r="BN135" s="74" t="inlineStr">
        <is>
          <t/>
        </is>
      </c>
      <c r="BO135" s="75" t="inlineStr">
        <is>
          <t>Other</t>
        </is>
      </c>
      <c r="BP135" s="76" t="inlineStr">
        <is>
          <t/>
        </is>
      </c>
      <c r="BQ135" s="77" t="inlineStr">
        <is>
          <t/>
        </is>
      </c>
      <c r="BR135" s="78" t="inlineStr">
        <is>
          <t/>
        </is>
      </c>
      <c r="BS135" s="79" t="inlineStr">
        <is>
          <t>Completed</t>
        </is>
      </c>
      <c r="BT135" s="80" t="n">
        <v>42999.0</v>
      </c>
      <c r="BU135" s="81" t="n">
        <v>3.1</v>
      </c>
      <c r="BV135" s="82" t="inlineStr">
        <is>
          <t>Actual</t>
        </is>
      </c>
      <c r="BW135" s="83" t="inlineStr">
        <is>
          <t/>
        </is>
      </c>
      <c r="BX135" s="84" t="inlineStr">
        <is>
          <t/>
        </is>
      </c>
      <c r="BY135" s="85" t="inlineStr">
        <is>
          <t>Early Stage VC</t>
        </is>
      </c>
      <c r="BZ135" s="86" t="inlineStr">
        <is>
          <t/>
        </is>
      </c>
      <c r="CA135" s="87" t="inlineStr">
        <is>
          <t/>
        </is>
      </c>
      <c r="CB135" s="88" t="inlineStr">
        <is>
          <t>Venture Capital</t>
        </is>
      </c>
      <c r="CC135" s="89" t="inlineStr">
        <is>
          <t/>
        </is>
      </c>
      <c r="CD135" s="90" t="inlineStr">
        <is>
          <t/>
        </is>
      </c>
      <c r="CE135" s="91" t="inlineStr">
        <is>
          <t/>
        </is>
      </c>
      <c r="CF135" s="92" t="inlineStr">
        <is>
          <t>Completed</t>
        </is>
      </c>
      <c r="CG135" s="93" t="inlineStr">
        <is>
          <t>0,35%</t>
        </is>
      </c>
      <c r="CH135" s="94" t="inlineStr">
        <is>
          <t>90</t>
        </is>
      </c>
      <c r="CI135" s="95" t="inlineStr">
        <is>
          <t>-0,27%</t>
        </is>
      </c>
      <c r="CJ135" s="96" t="inlineStr">
        <is>
          <t>-43,52%</t>
        </is>
      </c>
      <c r="CK135" s="97" t="inlineStr">
        <is>
          <t/>
        </is>
      </c>
      <c r="CL135" s="98" t="inlineStr">
        <is>
          <t/>
        </is>
      </c>
      <c r="CM135" s="99" t="inlineStr">
        <is>
          <t>0,08%</t>
        </is>
      </c>
      <c r="CN135" s="100" t="inlineStr">
        <is>
          <t>55</t>
        </is>
      </c>
      <c r="CO135" s="101" t="inlineStr">
        <is>
          <t/>
        </is>
      </c>
      <c r="CP135" s="102" t="inlineStr">
        <is>
          <t/>
        </is>
      </c>
      <c r="CQ135" s="103" t="inlineStr">
        <is>
          <t/>
        </is>
      </c>
      <c r="CR135" s="104" t="inlineStr">
        <is>
          <t/>
        </is>
      </c>
      <c r="CS135" s="105" t="inlineStr">
        <is>
          <t>0,10%</t>
        </is>
      </c>
      <c r="CT135" s="106" t="inlineStr">
        <is>
          <t>56</t>
        </is>
      </c>
      <c r="CU135" s="107" t="inlineStr">
        <is>
          <t>0,06%</t>
        </is>
      </c>
      <c r="CV135" s="108" t="inlineStr">
        <is>
          <t>60</t>
        </is>
      </c>
      <c r="CW135" s="109" t="inlineStr">
        <is>
          <t>9,31x</t>
        </is>
      </c>
      <c r="CX135" s="110" t="inlineStr">
        <is>
          <t>87</t>
        </is>
      </c>
      <c r="CY135" s="111" t="inlineStr">
        <is>
          <t>9,09x</t>
        </is>
      </c>
      <c r="CZ135" s="112" t="inlineStr">
        <is>
          <t>4.177,43%</t>
        </is>
      </c>
      <c r="DA135" s="113" t="inlineStr">
        <is>
          <t/>
        </is>
      </c>
      <c r="DB135" s="114" t="inlineStr">
        <is>
          <t/>
        </is>
      </c>
      <c r="DC135" s="115" t="inlineStr">
        <is>
          <t>18,39x</t>
        </is>
      </c>
      <c r="DD135" s="116" t="inlineStr">
        <is>
          <t>89</t>
        </is>
      </c>
      <c r="DE135" s="117" t="inlineStr">
        <is>
          <t/>
        </is>
      </c>
      <c r="DF135" s="118" t="inlineStr">
        <is>
          <t/>
        </is>
      </c>
      <c r="DG135" s="119" t="inlineStr">
        <is>
          <t/>
        </is>
      </c>
      <c r="DH135" s="120" t="inlineStr">
        <is>
          <t/>
        </is>
      </c>
      <c r="DI135" s="121" t="inlineStr">
        <is>
          <t>29,09x</t>
        </is>
      </c>
      <c r="DJ135" s="122" t="inlineStr">
        <is>
          <t>89</t>
        </is>
      </c>
      <c r="DK135" s="123" t="inlineStr">
        <is>
          <t>7,70x</t>
        </is>
      </c>
      <c r="DL135" s="124" t="inlineStr">
        <is>
          <t>84</t>
        </is>
      </c>
      <c r="DM135" s="125" t="inlineStr">
        <is>
          <t/>
        </is>
      </c>
      <c r="DN135" s="126" t="inlineStr">
        <is>
          <t/>
        </is>
      </c>
      <c r="DO135" s="127" t="inlineStr">
        <is>
          <t/>
        </is>
      </c>
      <c r="DP135" s="128" t="inlineStr">
        <is>
          <t>23.019</t>
        </is>
      </c>
      <c r="DQ135" s="129" t="inlineStr">
        <is>
          <t>48</t>
        </is>
      </c>
      <c r="DR135" s="130" t="inlineStr">
        <is>
          <t>0,21%</t>
        </is>
      </c>
      <c r="DS135" s="131" t="inlineStr">
        <is>
          <t/>
        </is>
      </c>
      <c r="DT135" s="132" t="inlineStr">
        <is>
          <t/>
        </is>
      </c>
      <c r="DU135" s="133" t="inlineStr">
        <is>
          <t/>
        </is>
      </c>
      <c r="DV135" s="134" t="inlineStr">
        <is>
          <t>2.879</t>
        </is>
      </c>
      <c r="DW135" s="135" t="inlineStr">
        <is>
          <t>3</t>
        </is>
      </c>
      <c r="DX135" s="136" t="inlineStr">
        <is>
          <t>0,10%</t>
        </is>
      </c>
      <c r="DY135" s="137" t="inlineStr">
        <is>
          <t>PitchBook Research</t>
        </is>
      </c>
      <c r="DZ135" s="785">
        <f>HYPERLINK("https://my.pitchbook.com?c=149279-32", "View company online")</f>
      </c>
    </row>
    <row r="136">
      <c r="A136" s="139" t="inlineStr">
        <is>
          <t>92466-37</t>
        </is>
      </c>
      <c r="B136" s="140" t="inlineStr">
        <is>
          <t>LabGenius</t>
        </is>
      </c>
      <c r="C136" s="141" t="inlineStr">
        <is>
          <t/>
        </is>
      </c>
      <c r="D136" s="142" t="inlineStr">
        <is>
          <t/>
        </is>
      </c>
      <c r="E136" s="143" t="inlineStr">
        <is>
          <t>92466-37</t>
        </is>
      </c>
      <c r="F136" s="144" t="inlineStr">
        <is>
          <t>Provider of a closed-loop platform intended to to develop a new generation of biological products in partnership with world-leading multinationals. The company's protein engineering platform create next-generation materials for the evolution of new biological components that interface with synthetic materials and plans to unlock a new wave of bio-augmented materials, with applications including energy, adhesives, and composite materials, enabling researchers across industry and academia to rapidly engineer novel biological systems.</t>
        </is>
      </c>
      <c r="G136" s="145" t="inlineStr">
        <is>
          <t>Healthcare</t>
        </is>
      </c>
      <c r="H136" s="146" t="inlineStr">
        <is>
          <t>Pharmaceuticals and Biotechnology</t>
        </is>
      </c>
      <c r="I136" s="147" t="inlineStr">
        <is>
          <t>Biotechnology</t>
        </is>
      </c>
      <c r="J136" s="148" t="inlineStr">
        <is>
          <t>Biotechnology*; Other Healthcare Technology Systems; Drug Discovery</t>
        </is>
      </c>
      <c r="K136" s="149" t="inlineStr">
        <is>
          <t>Artificial Intelligence &amp; Machine Learning, Life Sciences</t>
        </is>
      </c>
      <c r="L136" s="150" t="inlineStr">
        <is>
          <t>Venture Capital-Backed</t>
        </is>
      </c>
      <c r="M136" s="151" t="n">
        <v>3.11</v>
      </c>
      <c r="N136" s="152" t="inlineStr">
        <is>
          <t>Startup</t>
        </is>
      </c>
      <c r="O136" s="153" t="inlineStr">
        <is>
          <t>Privately Held (backing)</t>
        </is>
      </c>
      <c r="P136" s="154" t="inlineStr">
        <is>
          <t>Venture Capital</t>
        </is>
      </c>
      <c r="Q136" s="155" t="inlineStr">
        <is>
          <t>www.labgeni.us</t>
        </is>
      </c>
      <c r="R136" s="156" t="n">
        <v>5.0</v>
      </c>
      <c r="S136" s="157" t="inlineStr">
        <is>
          <t/>
        </is>
      </c>
      <c r="T136" s="158" t="inlineStr">
        <is>
          <t/>
        </is>
      </c>
      <c r="U136" s="159" t="n">
        <v>2012.0</v>
      </c>
      <c r="V136" s="160" t="inlineStr">
        <is>
          <t/>
        </is>
      </c>
      <c r="W136" s="161" t="inlineStr">
        <is>
          <r>
            <rPr>
              <b/>
              <color rgb="ff26854d"/>
              <rFont val="Arial"/>
              <sz val="8.0"/>
            </rPr>
            <t>News</t>
          </r>
          <r>
            <rPr>
              <color rgb="ff707070"/>
              <rFont val="Arial"/>
              <sz val="7.0"/>
            </rPr>
            <t xml:space="preserve"> NEW  </t>
          </r>
        </is>
      </c>
      <c r="X136" s="162" t="inlineStr">
        <is>
          <r>
            <rPr>
              <b/>
              <color rgb="ff26854d"/>
              <rFont val="Arial"/>
              <sz val="8.0"/>
            </rPr>
            <t>News</t>
          </r>
          <r>
            <rPr>
              <color rgb="ff707070"/>
              <rFont val="Arial"/>
              <sz val="7.0"/>
            </rPr>
            <t xml:space="preserve"> NEW  </t>
          </r>
        </is>
      </c>
      <c r="Y136" s="163" t="inlineStr">
        <is>
          <t/>
        </is>
      </c>
      <c r="Z136" s="164" t="inlineStr">
        <is>
          <t/>
        </is>
      </c>
      <c r="AA136" s="165" t="inlineStr">
        <is>
          <t/>
        </is>
      </c>
      <c r="AB136" s="166" t="inlineStr">
        <is>
          <t/>
        </is>
      </c>
      <c r="AC136" s="167" t="inlineStr">
        <is>
          <t/>
        </is>
      </c>
      <c r="AD136" s="168" t="inlineStr">
        <is>
          <t/>
        </is>
      </c>
      <c r="AE136" s="169" t="inlineStr">
        <is>
          <t>172608-13P</t>
        </is>
      </c>
      <c r="AF136" s="170" t="inlineStr">
        <is>
          <t>James Field</t>
        </is>
      </c>
      <c r="AG136" s="171" t="inlineStr">
        <is>
          <t>Founder, Chief Executive Officer &amp; Director</t>
        </is>
      </c>
      <c r="AH136" s="172" t="inlineStr">
        <is>
          <t>james@labgeni.us</t>
        </is>
      </c>
      <c r="AI136" s="173" t="inlineStr">
        <is>
          <t>+44 (0)20 3627 7156</t>
        </is>
      </c>
      <c r="AJ136" s="174" t="inlineStr">
        <is>
          <t>London, United Kingdom</t>
        </is>
      </c>
      <c r="AK136" s="175" t="inlineStr">
        <is>
          <t>Level 2 Bessemer Building</t>
        </is>
      </c>
      <c r="AL136" s="176" t="inlineStr">
        <is>
          <t>Imperial College Road</t>
        </is>
      </c>
      <c r="AM136" s="177" t="inlineStr">
        <is>
          <t>London</t>
        </is>
      </c>
      <c r="AN136" s="178" t="inlineStr">
        <is>
          <t>England</t>
        </is>
      </c>
      <c r="AO136" s="179" t="inlineStr">
        <is>
          <t>SW7 2AZ</t>
        </is>
      </c>
      <c r="AP136" s="180" t="inlineStr">
        <is>
          <t>United Kingdom</t>
        </is>
      </c>
      <c r="AQ136" s="181" t="inlineStr">
        <is>
          <t>+44 (0)21 2545 8022</t>
        </is>
      </c>
      <c r="AR136" s="182" t="inlineStr">
        <is>
          <t/>
        </is>
      </c>
      <c r="AS136" s="183" t="inlineStr">
        <is>
          <t>hi@labgeni.us</t>
        </is>
      </c>
      <c r="AT136" s="184" t="inlineStr">
        <is>
          <t>Europe</t>
        </is>
      </c>
      <c r="AU136" s="185" t="inlineStr">
        <is>
          <t>Western Europe</t>
        </is>
      </c>
      <c r="AV136" s="186" t="inlineStr">
        <is>
          <t>The company raised $3.66 million of seed funding in a deal led by Kindred Capital and Acequia Capital on November 24, 2017. Beast Ventures, Backed VC, Berggruen Holdings, System.One, Charlie Songhurst and Tom McInerney also participated in the round. The funds will be used to to establish a purpose-built R&amp;D facility in Central London and mature EVA.</t>
        </is>
      </c>
      <c r="AW136" s="187" t="inlineStr">
        <is>
          <t>Acequia Capital, Backed VC, Beast Ventures, Berggruen Holdings, Charles Songhurst, Kindred Capital, SynbiCITE, System.One, Thomas McInerney</t>
        </is>
      </c>
      <c r="AX136" s="188" t="n">
        <v>9.0</v>
      </c>
      <c r="AY136" s="189" t="inlineStr">
        <is>
          <t/>
        </is>
      </c>
      <c r="AZ136" s="190" t="inlineStr">
        <is>
          <t/>
        </is>
      </c>
      <c r="BA136" s="191" t="inlineStr">
        <is>
          <t/>
        </is>
      </c>
      <c r="BB136" s="192" t="inlineStr">
        <is>
          <t>Acequia Capital (www.acecap.com), Backed VC (www.backed.vc), Beast Ventures (www.beast.vc), Berggruen Holdings (www.berggruenholdings.com), Kindred Capital (www.kindredcapital.vc), SynbiCITE (www.synbicite.com), System.One (www.systemone.vc), Thomas McInerney (www.tgm.com)</t>
        </is>
      </c>
      <c r="BC136" s="193" t="inlineStr">
        <is>
          <t/>
        </is>
      </c>
      <c r="BD136" s="194" t="inlineStr">
        <is>
          <t/>
        </is>
      </c>
      <c r="BE136" s="195" t="inlineStr">
        <is>
          <t/>
        </is>
      </c>
      <c r="BF136" s="196" t="inlineStr">
        <is>
          <t/>
        </is>
      </c>
      <c r="BG136" s="197" t="n">
        <v>42347.0</v>
      </c>
      <c r="BH136" s="198" t="n">
        <v>0.07</v>
      </c>
      <c r="BI136" s="199" t="inlineStr">
        <is>
          <t>Actual</t>
        </is>
      </c>
      <c r="BJ136" s="200" t="inlineStr">
        <is>
          <t/>
        </is>
      </c>
      <c r="BK136" s="201" t="inlineStr">
        <is>
          <t/>
        </is>
      </c>
      <c r="BL136" s="202" t="inlineStr">
        <is>
          <t>Grant</t>
        </is>
      </c>
      <c r="BM136" s="203" t="inlineStr">
        <is>
          <t/>
        </is>
      </c>
      <c r="BN136" s="204" t="inlineStr">
        <is>
          <t/>
        </is>
      </c>
      <c r="BO136" s="205" t="inlineStr">
        <is>
          <t>Other</t>
        </is>
      </c>
      <c r="BP136" s="206" t="inlineStr">
        <is>
          <t/>
        </is>
      </c>
      <c r="BQ136" s="207" t="inlineStr">
        <is>
          <t/>
        </is>
      </c>
      <c r="BR136" s="208" t="inlineStr">
        <is>
          <t/>
        </is>
      </c>
      <c r="BS136" s="209" t="inlineStr">
        <is>
          <t>Completed</t>
        </is>
      </c>
      <c r="BT136" s="210" t="n">
        <v>43063.0</v>
      </c>
      <c r="BU136" s="211" t="n">
        <v>3.11</v>
      </c>
      <c r="BV136" s="212" t="inlineStr">
        <is>
          <t>Actual</t>
        </is>
      </c>
      <c r="BW136" s="213" t="inlineStr">
        <is>
          <t/>
        </is>
      </c>
      <c r="BX136" s="214" t="inlineStr">
        <is>
          <t/>
        </is>
      </c>
      <c r="BY136" s="215" t="inlineStr">
        <is>
          <t>Seed Round</t>
        </is>
      </c>
      <c r="BZ136" s="216" t="inlineStr">
        <is>
          <t>Seed</t>
        </is>
      </c>
      <c r="CA136" s="217" t="inlineStr">
        <is>
          <t/>
        </is>
      </c>
      <c r="CB136" s="218" t="inlineStr">
        <is>
          <t>Venture Capital</t>
        </is>
      </c>
      <c r="CC136" s="219" t="inlineStr">
        <is>
          <t/>
        </is>
      </c>
      <c r="CD136" s="220" t="inlineStr">
        <is>
          <t/>
        </is>
      </c>
      <c r="CE136" s="221" t="inlineStr">
        <is>
          <t/>
        </is>
      </c>
      <c r="CF136" s="222" t="inlineStr">
        <is>
          <t>Completed</t>
        </is>
      </c>
      <c r="CG136" s="223" t="inlineStr">
        <is>
          <t>0,18%</t>
        </is>
      </c>
      <c r="CH136" s="224" t="inlineStr">
        <is>
          <t>86</t>
        </is>
      </c>
      <c r="CI136" s="225" t="inlineStr">
        <is>
          <t>0,02%</t>
        </is>
      </c>
      <c r="CJ136" s="226" t="inlineStr">
        <is>
          <t>10,74%</t>
        </is>
      </c>
      <c r="CK136" s="227" t="inlineStr">
        <is>
          <t>0,00%</t>
        </is>
      </c>
      <c r="CL136" s="228" t="inlineStr">
        <is>
          <t>28</t>
        </is>
      </c>
      <c r="CM136" s="229" t="inlineStr">
        <is>
          <t>0,36%</t>
        </is>
      </c>
      <c r="CN136" s="230" t="inlineStr">
        <is>
          <t>83</t>
        </is>
      </c>
      <c r="CO136" s="231" t="inlineStr">
        <is>
          <t>0,00%</t>
        </is>
      </c>
      <c r="CP136" s="232" t="inlineStr">
        <is>
          <t>37</t>
        </is>
      </c>
      <c r="CQ136" s="233" t="inlineStr">
        <is>
          <t>0,00%</t>
        </is>
      </c>
      <c r="CR136" s="234" t="inlineStr">
        <is>
          <t>20</t>
        </is>
      </c>
      <c r="CS136" s="235" t="inlineStr">
        <is>
          <t>0,10%</t>
        </is>
      </c>
      <c r="CT136" s="236" t="inlineStr">
        <is>
          <t>56</t>
        </is>
      </c>
      <c r="CU136" s="237" t="inlineStr">
        <is>
          <t>0,61%</t>
        </is>
      </c>
      <c r="CV136" s="238" t="inlineStr">
        <is>
          <t>93</t>
        </is>
      </c>
      <c r="CW136" s="239" t="inlineStr">
        <is>
          <t>1,75x</t>
        </is>
      </c>
      <c r="CX136" s="240" t="inlineStr">
        <is>
          <t>62</t>
        </is>
      </c>
      <c r="CY136" s="241" t="inlineStr">
        <is>
          <t>0,00x</t>
        </is>
      </c>
      <c r="CZ136" s="242" t="inlineStr">
        <is>
          <t>0,17%</t>
        </is>
      </c>
      <c r="DA136" s="243" t="inlineStr">
        <is>
          <t>1,17x</t>
        </is>
      </c>
      <c r="DB136" s="244" t="inlineStr">
        <is>
          <t>55</t>
        </is>
      </c>
      <c r="DC136" s="245" t="inlineStr">
        <is>
          <t>2,33x</t>
        </is>
      </c>
      <c r="DD136" s="246" t="inlineStr">
        <is>
          <t>64</t>
        </is>
      </c>
      <c r="DE136" s="247" t="inlineStr">
        <is>
          <t>1,57x</t>
        </is>
      </c>
      <c r="DF136" s="248" t="inlineStr">
        <is>
          <t>61</t>
        </is>
      </c>
      <c r="DG136" s="249" t="inlineStr">
        <is>
          <t>0,78x</t>
        </is>
      </c>
      <c r="DH136" s="250" t="inlineStr">
        <is>
          <t>45</t>
        </is>
      </c>
      <c r="DI136" s="251" t="inlineStr">
        <is>
          <t>1,82x</t>
        </is>
      </c>
      <c r="DJ136" s="252" t="inlineStr">
        <is>
          <t>60</t>
        </is>
      </c>
      <c r="DK136" s="253" t="inlineStr">
        <is>
          <t>2,83x</t>
        </is>
      </c>
      <c r="DL136" s="254" t="inlineStr">
        <is>
          <t>70</t>
        </is>
      </c>
      <c r="DM136" s="255" t="inlineStr">
        <is>
          <t>566</t>
        </is>
      </c>
      <c r="DN136" s="256" t="inlineStr">
        <is>
          <t>45</t>
        </is>
      </c>
      <c r="DO136" s="257" t="inlineStr">
        <is>
          <t>8,64%</t>
        </is>
      </c>
      <c r="DP136" s="258" t="inlineStr">
        <is>
          <t>1.442</t>
        </is>
      </c>
      <c r="DQ136" s="259" t="inlineStr">
        <is>
          <t>1</t>
        </is>
      </c>
      <c r="DR136" s="260" t="inlineStr">
        <is>
          <t>0,07%</t>
        </is>
      </c>
      <c r="DS136" s="261" t="inlineStr">
        <is>
          <t>28</t>
        </is>
      </c>
      <c r="DT136" s="262" t="inlineStr">
        <is>
          <t>0</t>
        </is>
      </c>
      <c r="DU136" s="263" t="inlineStr">
        <is>
          <t>0,00%</t>
        </is>
      </c>
      <c r="DV136" s="264" t="inlineStr">
        <is>
          <t>1.047</t>
        </is>
      </c>
      <c r="DW136" s="265" t="inlineStr">
        <is>
          <t>11</t>
        </is>
      </c>
      <c r="DX136" s="266" t="inlineStr">
        <is>
          <t>1,06%</t>
        </is>
      </c>
      <c r="DY136" s="267" t="inlineStr">
        <is>
          <t>PitchBook Research</t>
        </is>
      </c>
      <c r="DZ136" s="786">
        <f>HYPERLINK("https://my.pitchbook.com?c=92466-37", "View company online")</f>
      </c>
    </row>
    <row r="137">
      <c r="A137" s="9" t="inlineStr">
        <is>
          <t>175062-07</t>
        </is>
      </c>
      <c r="B137" s="10" t="inlineStr">
        <is>
          <t>Capcito</t>
        </is>
      </c>
      <c r="C137" s="11" t="inlineStr">
        <is>
          <t/>
        </is>
      </c>
      <c r="D137" s="12" t="inlineStr">
        <is>
          <t/>
        </is>
      </c>
      <c r="E137" s="13" t="inlineStr">
        <is>
          <t>175062-07</t>
        </is>
      </c>
      <c r="F137" s="14" t="inlineStr">
        <is>
          <t>Developer of a Saas based financial platform designed to borrow money with customer invoices as collateral. The company's Saas based financial platform connects the loan applications to cloud based accounting services, enabling small businesses to take loans with their customers invoices as security.</t>
        </is>
      </c>
      <c r="G137" s="15" t="inlineStr">
        <is>
          <t>Financial Services</t>
        </is>
      </c>
      <c r="H137" s="16" t="inlineStr">
        <is>
          <t>Other Financial Services</t>
        </is>
      </c>
      <c r="I137" s="17" t="inlineStr">
        <is>
          <t>Other Financial Services</t>
        </is>
      </c>
      <c r="J137" s="18" t="inlineStr">
        <is>
          <t>Other Financial Services*; Financial Software</t>
        </is>
      </c>
      <c r="K137" s="19" t="inlineStr">
        <is>
          <t>FinTech, SaaS</t>
        </is>
      </c>
      <c r="L137" s="20" t="inlineStr">
        <is>
          <t>Venture Capital-Backed</t>
        </is>
      </c>
      <c r="M137" s="21" t="n">
        <v>3.17</v>
      </c>
      <c r="N137" s="22" t="inlineStr">
        <is>
          <t>Generating Revenue</t>
        </is>
      </c>
      <c r="O137" s="23" t="inlineStr">
        <is>
          <t>Privately Held (backing)</t>
        </is>
      </c>
      <c r="P137" s="24" t="inlineStr">
        <is>
          <t>Venture Capital</t>
        </is>
      </c>
      <c r="Q137" s="25" t="inlineStr">
        <is>
          <t>www.capcito.com</t>
        </is>
      </c>
      <c r="R137" s="26" t="inlineStr">
        <is>
          <t/>
        </is>
      </c>
      <c r="S137" s="27" t="inlineStr">
        <is>
          <t/>
        </is>
      </c>
      <c r="T137" s="28" t="inlineStr">
        <is>
          <t/>
        </is>
      </c>
      <c r="U137" s="29" t="n">
        <v>2014.0</v>
      </c>
      <c r="V137" s="30" t="inlineStr">
        <is>
          <t/>
        </is>
      </c>
      <c r="W137" s="31" t="inlineStr">
        <is>
          <t/>
        </is>
      </c>
      <c r="X137" s="32" t="inlineStr">
        <is>
          <t/>
        </is>
      </c>
      <c r="Y137" s="33" t="n">
        <v>0.03794</v>
      </c>
      <c r="Z137" s="34" t="inlineStr">
        <is>
          <t/>
        </is>
      </c>
      <c r="AA137" s="35" t="n">
        <v>-0.34149</v>
      </c>
      <c r="AB137" s="36" t="inlineStr">
        <is>
          <t/>
        </is>
      </c>
      <c r="AC137" s="37" t="inlineStr">
        <is>
          <t/>
        </is>
      </c>
      <c r="AD137" s="38" t="inlineStr">
        <is>
          <t>FY 2016</t>
        </is>
      </c>
      <c r="AE137" s="39" t="inlineStr">
        <is>
          <t>146411-56P</t>
        </is>
      </c>
      <c r="AF137" s="40" t="inlineStr">
        <is>
          <t>Michael Hansen</t>
        </is>
      </c>
      <c r="AG137" s="41" t="inlineStr">
        <is>
          <t>Co-Founder</t>
        </is>
      </c>
      <c r="AH137" s="42" t="inlineStr">
        <is>
          <t>michael@capcito.com</t>
        </is>
      </c>
      <c r="AI137" s="43" t="inlineStr">
        <is>
          <t>+46 (0)010-157 80 00</t>
        </is>
      </c>
      <c r="AJ137" s="44" t="inlineStr">
        <is>
          <t>Stockholm, Sweden</t>
        </is>
      </c>
      <c r="AK137" s="45" t="inlineStr">
        <is>
          <t>BOX 7527</t>
        </is>
      </c>
      <c r="AL137" s="46" t="inlineStr">
        <is>
          <t/>
        </is>
      </c>
      <c r="AM137" s="47" t="inlineStr">
        <is>
          <t>Stockholm</t>
        </is>
      </c>
      <c r="AN137" s="48" t="inlineStr">
        <is>
          <t/>
        </is>
      </c>
      <c r="AO137" s="49" t="inlineStr">
        <is>
          <t>103 92</t>
        </is>
      </c>
      <c r="AP137" s="50" t="inlineStr">
        <is>
          <t>Sweden</t>
        </is>
      </c>
      <c r="AQ137" s="51" t="inlineStr">
        <is>
          <t>+46 (0)010-157 80 00</t>
        </is>
      </c>
      <c r="AR137" s="52" t="inlineStr">
        <is>
          <t/>
        </is>
      </c>
      <c r="AS137" s="53" t="inlineStr">
        <is>
          <t/>
        </is>
      </c>
      <c r="AT137" s="54" t="inlineStr">
        <is>
          <t>Europe</t>
        </is>
      </c>
      <c r="AU137" s="55" t="inlineStr">
        <is>
          <t>Northern Europe</t>
        </is>
      </c>
      <c r="AV137" s="56" t="inlineStr">
        <is>
          <t>The company raised SEK 20 million of venture funding from Skandinaviska Enskilda Banken and Collector Ventures on September 25, 2017.</t>
        </is>
      </c>
      <c r="AW137" s="57" t="inlineStr">
        <is>
          <t>Collector Ventures, Galjaden Fastigheter, PunktB, Skandinaviska Enskilda Banken</t>
        </is>
      </c>
      <c r="AX137" s="58" t="n">
        <v>4.0</v>
      </c>
      <c r="AY137" s="59" t="inlineStr">
        <is>
          <t/>
        </is>
      </c>
      <c r="AZ137" s="60" t="inlineStr">
        <is>
          <t/>
        </is>
      </c>
      <c r="BA137" s="61" t="inlineStr">
        <is>
          <t/>
        </is>
      </c>
      <c r="BB137" s="62" t="inlineStr">
        <is>
          <t>Collector Ventures (www.collector.se), PunktB (punktb.com), Skandinaviska Enskilda Banken (www.seb.no)</t>
        </is>
      </c>
      <c r="BC137" s="63" t="inlineStr">
        <is>
          <t/>
        </is>
      </c>
      <c r="BD137" s="64" t="inlineStr">
        <is>
          <t/>
        </is>
      </c>
      <c r="BE137" s="65" t="inlineStr">
        <is>
          <t/>
        </is>
      </c>
      <c r="BF137" s="66" t="inlineStr">
        <is>
          <t/>
        </is>
      </c>
      <c r="BG137" s="67" t="inlineStr">
        <is>
          <t/>
        </is>
      </c>
      <c r="BH137" s="68" t="inlineStr">
        <is>
          <t/>
        </is>
      </c>
      <c r="BI137" s="69" t="inlineStr">
        <is>
          <t/>
        </is>
      </c>
      <c r="BJ137" s="70" t="inlineStr">
        <is>
          <t/>
        </is>
      </c>
      <c r="BK137" s="71" t="inlineStr">
        <is>
          <t/>
        </is>
      </c>
      <c r="BL137" s="72" t="inlineStr">
        <is>
          <t>Accelerator/Incubator</t>
        </is>
      </c>
      <c r="BM137" s="73" t="inlineStr">
        <is>
          <t/>
        </is>
      </c>
      <c r="BN137" s="74" t="inlineStr">
        <is>
          <t/>
        </is>
      </c>
      <c r="BO137" s="75" t="inlineStr">
        <is>
          <t>Other</t>
        </is>
      </c>
      <c r="BP137" s="76" t="inlineStr">
        <is>
          <t/>
        </is>
      </c>
      <c r="BQ137" s="77" t="inlineStr">
        <is>
          <t/>
        </is>
      </c>
      <c r="BR137" s="78" t="inlineStr">
        <is>
          <t/>
        </is>
      </c>
      <c r="BS137" s="79" t="inlineStr">
        <is>
          <t>Completed</t>
        </is>
      </c>
      <c r="BT137" s="80" t="n">
        <v>43003.0</v>
      </c>
      <c r="BU137" s="81" t="n">
        <v>2.1</v>
      </c>
      <c r="BV137" s="82" t="inlineStr">
        <is>
          <t>Actual</t>
        </is>
      </c>
      <c r="BW137" s="83" t="inlineStr">
        <is>
          <t/>
        </is>
      </c>
      <c r="BX137" s="84" t="inlineStr">
        <is>
          <t/>
        </is>
      </c>
      <c r="BY137" s="85" t="inlineStr">
        <is>
          <t>Early Stage VC</t>
        </is>
      </c>
      <c r="BZ137" s="86" t="inlineStr">
        <is>
          <t/>
        </is>
      </c>
      <c r="CA137" s="87" t="inlineStr">
        <is>
          <t/>
        </is>
      </c>
      <c r="CB137" s="88" t="inlineStr">
        <is>
          <t>Venture Capital</t>
        </is>
      </c>
      <c r="CC137" s="89" t="inlineStr">
        <is>
          <t/>
        </is>
      </c>
      <c r="CD137" s="90" t="inlineStr">
        <is>
          <t/>
        </is>
      </c>
      <c r="CE137" s="91" t="inlineStr">
        <is>
          <t/>
        </is>
      </c>
      <c r="CF137" s="92" t="inlineStr">
        <is>
          <t>Completed</t>
        </is>
      </c>
      <c r="CG137" s="93" t="inlineStr">
        <is>
          <t>1,22%</t>
        </is>
      </c>
      <c r="CH137" s="94" t="inlineStr">
        <is>
          <t>96</t>
        </is>
      </c>
      <c r="CI137" s="95" t="inlineStr">
        <is>
          <t>-0,01%</t>
        </is>
      </c>
      <c r="CJ137" s="96" t="inlineStr">
        <is>
          <t>-0,77%</t>
        </is>
      </c>
      <c r="CK137" s="97" t="inlineStr">
        <is>
          <t>0,00%</t>
        </is>
      </c>
      <c r="CL137" s="98" t="inlineStr">
        <is>
          <t>28</t>
        </is>
      </c>
      <c r="CM137" s="99" t="inlineStr">
        <is>
          <t>2,44%</t>
        </is>
      </c>
      <c r="CN137" s="100" t="inlineStr">
        <is>
          <t>99</t>
        </is>
      </c>
      <c r="CO137" s="101" t="inlineStr">
        <is>
          <t>0,00%</t>
        </is>
      </c>
      <c r="CP137" s="102" t="inlineStr">
        <is>
          <t>37</t>
        </is>
      </c>
      <c r="CQ137" s="103" t="inlineStr">
        <is>
          <t>0,00%</t>
        </is>
      </c>
      <c r="CR137" s="104" t="inlineStr">
        <is>
          <t>20</t>
        </is>
      </c>
      <c r="CS137" s="105" t="inlineStr">
        <is>
          <t>4,94%</t>
        </is>
      </c>
      <c r="CT137" s="106" t="inlineStr">
        <is>
          <t>100</t>
        </is>
      </c>
      <c r="CU137" s="107" t="inlineStr">
        <is>
          <t>-0,05%</t>
        </is>
      </c>
      <c r="CV137" s="108" t="inlineStr">
        <is>
          <t>14</t>
        </is>
      </c>
      <c r="CW137" s="109" t="inlineStr">
        <is>
          <t>0,60x</t>
        </is>
      </c>
      <c r="CX137" s="110" t="inlineStr">
        <is>
          <t>37</t>
        </is>
      </c>
      <c r="CY137" s="111" t="inlineStr">
        <is>
          <t>0,00x</t>
        </is>
      </c>
      <c r="CZ137" s="112" t="inlineStr">
        <is>
          <t>0,65%</t>
        </is>
      </c>
      <c r="DA137" s="113" t="inlineStr">
        <is>
          <t>0,81x</t>
        </is>
      </c>
      <c r="DB137" s="114" t="inlineStr">
        <is>
          <t>46</t>
        </is>
      </c>
      <c r="DC137" s="115" t="inlineStr">
        <is>
          <t>0,40x</t>
        </is>
      </c>
      <c r="DD137" s="116" t="inlineStr">
        <is>
          <t>32</t>
        </is>
      </c>
      <c r="DE137" s="117" t="inlineStr">
        <is>
          <t>0,09x</t>
        </is>
      </c>
      <c r="DF137" s="118" t="inlineStr">
        <is>
          <t>4</t>
        </is>
      </c>
      <c r="DG137" s="119" t="inlineStr">
        <is>
          <t>1,53x</t>
        </is>
      </c>
      <c r="DH137" s="120" t="inlineStr">
        <is>
          <t>59</t>
        </is>
      </c>
      <c r="DI137" s="121" t="inlineStr">
        <is>
          <t>0,18x</t>
        </is>
      </c>
      <c r="DJ137" s="122" t="inlineStr">
        <is>
          <t>22</t>
        </is>
      </c>
      <c r="DK137" s="123" t="inlineStr">
        <is>
          <t>0,62x</t>
        </is>
      </c>
      <c r="DL137" s="124" t="inlineStr">
        <is>
          <t>42</t>
        </is>
      </c>
      <c r="DM137" s="125" t="inlineStr">
        <is>
          <t>40</t>
        </is>
      </c>
      <c r="DN137" s="126" t="inlineStr">
        <is>
          <t>-20</t>
        </is>
      </c>
      <c r="DO137" s="127" t="inlineStr">
        <is>
          <t>-33,33%</t>
        </is>
      </c>
      <c r="DP137" s="128" t="inlineStr">
        <is>
          <t>142</t>
        </is>
      </c>
      <c r="DQ137" s="129" t="inlineStr">
        <is>
          <t>2</t>
        </is>
      </c>
      <c r="DR137" s="130" t="inlineStr">
        <is>
          <t>1,43%</t>
        </is>
      </c>
      <c r="DS137" s="131" t="inlineStr">
        <is>
          <t>54</t>
        </is>
      </c>
      <c r="DT137" s="132" t="inlineStr">
        <is>
          <t>1</t>
        </is>
      </c>
      <c r="DU137" s="133" t="inlineStr">
        <is>
          <t>1,89%</t>
        </is>
      </c>
      <c r="DV137" s="134" t="inlineStr">
        <is>
          <t>232</t>
        </is>
      </c>
      <c r="DW137" s="135" t="inlineStr">
        <is>
          <t>-1</t>
        </is>
      </c>
      <c r="DX137" s="136" t="inlineStr">
        <is>
          <t>-0,43%</t>
        </is>
      </c>
      <c r="DY137" s="137" t="inlineStr">
        <is>
          <t>PitchBook Research</t>
        </is>
      </c>
      <c r="DZ137" s="785">
        <f>HYPERLINK("https://my.pitchbook.com?c=175062-07", "View company online")</f>
      </c>
    </row>
    <row r="138">
      <c r="A138" s="139" t="inlineStr">
        <is>
          <t>164214-73</t>
        </is>
      </c>
      <c r="B138" s="140" t="inlineStr">
        <is>
          <t>GuestReady</t>
        </is>
      </c>
      <c r="C138" s="141" t="inlineStr">
        <is>
          <t/>
        </is>
      </c>
      <c r="D138" s="142" t="inlineStr">
        <is>
          <t/>
        </is>
      </c>
      <c r="E138" s="143" t="inlineStr">
        <is>
          <t>164214-73</t>
        </is>
      </c>
      <c r="F138" s="144" t="inlineStr">
        <is>
          <t>Operator of an online platform designed to offer short-term rent management services. The company's online platform offers guest communications, housekeeping, key management, cleaning, laundry, check-in and out as well as price optimization services, providing property investors, homeowners and Airbnb hosts in London, Paris, Singapore, Kuala Lumpur and Hong Kong with professional services.</t>
        </is>
      </c>
      <c r="G138" s="145" t="inlineStr">
        <is>
          <t>Consumer Products and Services (B2C)</t>
        </is>
      </c>
      <c r="H138" s="146" t="inlineStr">
        <is>
          <t>Services (Non-Financial)</t>
        </is>
      </c>
      <c r="I138" s="147" t="inlineStr">
        <is>
          <t>Real Estate Services (B2C)</t>
        </is>
      </c>
      <c r="J138" s="148" t="inlineStr">
        <is>
          <t>Real Estate Services (B2C)*; Other Commercial Services; Application Software; Social/Platform Software</t>
        </is>
      </c>
      <c r="K138" s="149" t="inlineStr">
        <is>
          <t>E-Commerce, Mobile</t>
        </is>
      </c>
      <c r="L138" s="150" t="inlineStr">
        <is>
          <t>Venture Capital-Backed</t>
        </is>
      </c>
      <c r="M138" s="151" t="n">
        <v>3.28</v>
      </c>
      <c r="N138" s="152" t="inlineStr">
        <is>
          <t>Generating Revenue</t>
        </is>
      </c>
      <c r="O138" s="153" t="inlineStr">
        <is>
          <t>Privately Held (backing)</t>
        </is>
      </c>
      <c r="P138" s="154" t="inlineStr">
        <is>
          <t>Venture Capital</t>
        </is>
      </c>
      <c r="Q138" s="155" t="inlineStr">
        <is>
          <t>www.guestready.com</t>
        </is>
      </c>
      <c r="R138" s="156" t="n">
        <v>8.0</v>
      </c>
      <c r="S138" s="157" t="inlineStr">
        <is>
          <t/>
        </is>
      </c>
      <c r="T138" s="158" t="inlineStr">
        <is>
          <t/>
        </is>
      </c>
      <c r="U138" s="159" t="n">
        <v>2016.0</v>
      </c>
      <c r="V138" s="160" t="inlineStr">
        <is>
          <t/>
        </is>
      </c>
      <c r="W138" s="161" t="inlineStr">
        <is>
          <t/>
        </is>
      </c>
      <c r="X138" s="162" t="inlineStr">
        <is>
          <t/>
        </is>
      </c>
      <c r="Y138" s="163" t="inlineStr">
        <is>
          <t/>
        </is>
      </c>
      <c r="Z138" s="164" t="inlineStr">
        <is>
          <t/>
        </is>
      </c>
      <c r="AA138" s="165" t="inlineStr">
        <is>
          <t/>
        </is>
      </c>
      <c r="AB138" s="166" t="inlineStr">
        <is>
          <t/>
        </is>
      </c>
      <c r="AC138" s="167" t="inlineStr">
        <is>
          <t/>
        </is>
      </c>
      <c r="AD138" s="168" t="inlineStr">
        <is>
          <t/>
        </is>
      </c>
      <c r="AE138" s="169" t="inlineStr">
        <is>
          <t>143240-05P</t>
        </is>
      </c>
      <c r="AF138" s="170" t="inlineStr">
        <is>
          <t>Patrick Degen</t>
        </is>
      </c>
      <c r="AG138" s="171" t="inlineStr">
        <is>
          <t>Chief Financial Officer</t>
        </is>
      </c>
      <c r="AH138" s="172" t="inlineStr">
        <is>
          <t>patrick.degen@guestready.com</t>
        </is>
      </c>
      <c r="AI138" s="173" t="inlineStr">
        <is>
          <t/>
        </is>
      </c>
      <c r="AJ138" s="174" t="inlineStr">
        <is>
          <t>Trogen, Switzerland</t>
        </is>
      </c>
      <c r="AK138" s="175" t="inlineStr">
        <is>
          <t>Landsgemeindeplatz 6</t>
        </is>
      </c>
      <c r="AL138" s="176" t="inlineStr">
        <is>
          <t/>
        </is>
      </c>
      <c r="AM138" s="177" t="inlineStr">
        <is>
          <t>Trogen</t>
        </is>
      </c>
      <c r="AN138" s="178" t="inlineStr">
        <is>
          <t/>
        </is>
      </c>
      <c r="AO138" s="179" t="inlineStr">
        <is>
          <t>9043</t>
        </is>
      </c>
      <c r="AP138" s="180" t="inlineStr">
        <is>
          <t>Switzerland</t>
        </is>
      </c>
      <c r="AQ138" s="181" t="inlineStr">
        <is>
          <t/>
        </is>
      </c>
      <c r="AR138" s="182" t="inlineStr">
        <is>
          <t/>
        </is>
      </c>
      <c r="AS138" s="183" t="inlineStr">
        <is>
          <t>london@guestready.com</t>
        </is>
      </c>
      <c r="AT138" s="184" t="inlineStr">
        <is>
          <t>Europe</t>
        </is>
      </c>
      <c r="AU138" s="185" t="inlineStr">
        <is>
          <t>Western Europe</t>
        </is>
      </c>
      <c r="AV138" s="186" t="inlineStr">
        <is>
          <t>The company raised GBP 2.3 million of seed funding in a deal led by Impulse VC, Xponova and Boost Heroes on October 25, 2017. Swiss Founders Fund and Senn and Partner also participated in this round. The funds will be used to expand the company's business to reach 2 more cities in the UK and a few more global cities by Summer 2018. Prior to that, the company raised $750,000 of seed funding in a deal led by Swiss Founders Fund on November 17, 2016. Georg Bauser, Senn and Partner and other undisclosed investors also participated in this round.</t>
        </is>
      </c>
      <c r="AW138" s="187" t="inlineStr">
        <is>
          <t>Boost Heroes, Georg Bauser, Impulse Incubator, Senn and Partner, Swiss Founders Fund, Xponova</t>
        </is>
      </c>
      <c r="AX138" s="188" t="n">
        <v>6.0</v>
      </c>
      <c r="AY138" s="189" t="inlineStr">
        <is>
          <t/>
        </is>
      </c>
      <c r="AZ138" s="190" t="inlineStr">
        <is>
          <t/>
        </is>
      </c>
      <c r="BA138" s="191" t="inlineStr">
        <is>
          <t/>
        </is>
      </c>
      <c r="BB138" s="192" t="inlineStr">
        <is>
          <t>Boost Heroes (www.boostheroes.com), Impulse Incubator (www.impulsevc.com), Swiss Founders Fund (www.sff.vc), Xponova (xponova.com.au)</t>
        </is>
      </c>
      <c r="BC138" s="193" t="inlineStr">
        <is>
          <t/>
        </is>
      </c>
      <c r="BD138" s="194" t="inlineStr">
        <is>
          <t/>
        </is>
      </c>
      <c r="BE138" s="195" t="inlineStr">
        <is>
          <t/>
        </is>
      </c>
      <c r="BF138" s="196" t="inlineStr">
        <is>
          <t/>
        </is>
      </c>
      <c r="BG138" s="197" t="n">
        <v>42598.0</v>
      </c>
      <c r="BH138" s="198" t="inlineStr">
        <is>
          <t/>
        </is>
      </c>
      <c r="BI138" s="199" t="inlineStr">
        <is>
          <t/>
        </is>
      </c>
      <c r="BJ138" s="200" t="inlineStr">
        <is>
          <t/>
        </is>
      </c>
      <c r="BK138" s="201" t="inlineStr">
        <is>
          <t/>
        </is>
      </c>
      <c r="BL138" s="202" t="inlineStr">
        <is>
          <t>Seed Round</t>
        </is>
      </c>
      <c r="BM138" s="203" t="inlineStr">
        <is>
          <t>Seed</t>
        </is>
      </c>
      <c r="BN138" s="204" t="inlineStr">
        <is>
          <t/>
        </is>
      </c>
      <c r="BO138" s="205" t="inlineStr">
        <is>
          <t>Individual</t>
        </is>
      </c>
      <c r="BP138" s="206" t="inlineStr">
        <is>
          <t/>
        </is>
      </c>
      <c r="BQ138" s="207" t="inlineStr">
        <is>
          <t/>
        </is>
      </c>
      <c r="BR138" s="208" t="inlineStr">
        <is>
          <t/>
        </is>
      </c>
      <c r="BS138" s="209" t="inlineStr">
        <is>
          <t>Completed</t>
        </is>
      </c>
      <c r="BT138" s="210" t="n">
        <v>43033.0</v>
      </c>
      <c r="BU138" s="211" t="n">
        <v>2.58</v>
      </c>
      <c r="BV138" s="212" t="inlineStr">
        <is>
          <t>Actual</t>
        </is>
      </c>
      <c r="BW138" s="213" t="inlineStr">
        <is>
          <t/>
        </is>
      </c>
      <c r="BX138" s="214" t="inlineStr">
        <is>
          <t/>
        </is>
      </c>
      <c r="BY138" s="215" t="inlineStr">
        <is>
          <t>Seed Round</t>
        </is>
      </c>
      <c r="BZ138" s="216" t="inlineStr">
        <is>
          <t>Seed</t>
        </is>
      </c>
      <c r="CA138" s="217" t="inlineStr">
        <is>
          <t/>
        </is>
      </c>
      <c r="CB138" s="218" t="inlineStr">
        <is>
          <t>Venture Capital</t>
        </is>
      </c>
      <c r="CC138" s="219" t="inlineStr">
        <is>
          <t/>
        </is>
      </c>
      <c r="CD138" s="220" t="inlineStr">
        <is>
          <t/>
        </is>
      </c>
      <c r="CE138" s="221" t="inlineStr">
        <is>
          <t/>
        </is>
      </c>
      <c r="CF138" s="222" t="inlineStr">
        <is>
          <t>Completed</t>
        </is>
      </c>
      <c r="CG138" s="223" t="inlineStr">
        <is>
          <t>-0,40%</t>
        </is>
      </c>
      <c r="CH138" s="224" t="inlineStr">
        <is>
          <t>20</t>
        </is>
      </c>
      <c r="CI138" s="225" t="inlineStr">
        <is>
          <t>0,15%</t>
        </is>
      </c>
      <c r="CJ138" s="226" t="inlineStr">
        <is>
          <t>27,21%</t>
        </is>
      </c>
      <c r="CK138" s="227" t="inlineStr">
        <is>
          <t>-1,17%</t>
        </is>
      </c>
      <c r="CL138" s="228" t="inlineStr">
        <is>
          <t>18</t>
        </is>
      </c>
      <c r="CM138" s="229" t="inlineStr">
        <is>
          <t>0,37%</t>
        </is>
      </c>
      <c r="CN138" s="230" t="inlineStr">
        <is>
          <t>84</t>
        </is>
      </c>
      <c r="CO138" s="231" t="inlineStr">
        <is>
          <t>-7,15%</t>
        </is>
      </c>
      <c r="CP138" s="232" t="inlineStr">
        <is>
          <t>17</t>
        </is>
      </c>
      <c r="CQ138" s="233" t="inlineStr">
        <is>
          <t>4,81%</t>
        </is>
      </c>
      <c r="CR138" s="234" t="inlineStr">
        <is>
          <t>98</t>
        </is>
      </c>
      <c r="CS138" s="235" t="inlineStr">
        <is>
          <t>0,51%</t>
        </is>
      </c>
      <c r="CT138" s="236" t="inlineStr">
        <is>
          <t>87</t>
        </is>
      </c>
      <c r="CU138" s="237" t="inlineStr">
        <is>
          <t>0,23%</t>
        </is>
      </c>
      <c r="CV138" s="238" t="inlineStr">
        <is>
          <t>79</t>
        </is>
      </c>
      <c r="CW138" s="239" t="inlineStr">
        <is>
          <t>2,88x</t>
        </is>
      </c>
      <c r="CX138" s="240" t="inlineStr">
        <is>
          <t>71</t>
        </is>
      </c>
      <c r="CY138" s="241" t="inlineStr">
        <is>
          <t>0,07x</t>
        </is>
      </c>
      <c r="CZ138" s="242" t="inlineStr">
        <is>
          <t>2,52%</t>
        </is>
      </c>
      <c r="DA138" s="243" t="inlineStr">
        <is>
          <t>3,75x</t>
        </is>
      </c>
      <c r="DB138" s="244" t="inlineStr">
        <is>
          <t>77</t>
        </is>
      </c>
      <c r="DC138" s="245" t="inlineStr">
        <is>
          <t>2,02x</t>
        </is>
      </c>
      <c r="DD138" s="246" t="inlineStr">
        <is>
          <t>62</t>
        </is>
      </c>
      <c r="DE138" s="247" t="inlineStr">
        <is>
          <t>1,50x</t>
        </is>
      </c>
      <c r="DF138" s="248" t="inlineStr">
        <is>
          <t>60</t>
        </is>
      </c>
      <c r="DG138" s="249" t="inlineStr">
        <is>
          <t>6,00x</t>
        </is>
      </c>
      <c r="DH138" s="250" t="inlineStr">
        <is>
          <t>81</t>
        </is>
      </c>
      <c r="DI138" s="251" t="inlineStr">
        <is>
          <t>3,15x</t>
        </is>
      </c>
      <c r="DJ138" s="252" t="inlineStr">
        <is>
          <t>68</t>
        </is>
      </c>
      <c r="DK138" s="253" t="inlineStr">
        <is>
          <t>0,89x</t>
        </is>
      </c>
      <c r="DL138" s="254" t="inlineStr">
        <is>
          <t>48</t>
        </is>
      </c>
      <c r="DM138" s="255" t="inlineStr">
        <is>
          <t>542</t>
        </is>
      </c>
      <c r="DN138" s="256" t="inlineStr">
        <is>
          <t>65</t>
        </is>
      </c>
      <c r="DO138" s="257" t="inlineStr">
        <is>
          <t>13,63%</t>
        </is>
      </c>
      <c r="DP138" s="258" t="inlineStr">
        <is>
          <t>2.490</t>
        </is>
      </c>
      <c r="DQ138" s="259" t="inlineStr">
        <is>
          <t>10</t>
        </is>
      </c>
      <c r="DR138" s="260" t="inlineStr">
        <is>
          <t>0,40%</t>
        </is>
      </c>
      <c r="DS138" s="261" t="inlineStr">
        <is>
          <t>211</t>
        </is>
      </c>
      <c r="DT138" s="262" t="inlineStr">
        <is>
          <t>10</t>
        </is>
      </c>
      <c r="DU138" s="263" t="inlineStr">
        <is>
          <t>4,98%</t>
        </is>
      </c>
      <c r="DV138" s="264" t="inlineStr">
        <is>
          <t>331</t>
        </is>
      </c>
      <c r="DW138" s="265" t="inlineStr">
        <is>
          <t>0</t>
        </is>
      </c>
      <c r="DX138" s="266" t="inlineStr">
        <is>
          <t>0,00%</t>
        </is>
      </c>
      <c r="DY138" s="267" t="inlineStr">
        <is>
          <t>PitchBook Research</t>
        </is>
      </c>
      <c r="DZ138" s="786">
        <f>HYPERLINK("https://my.pitchbook.com?c=164214-73", "View company online")</f>
      </c>
    </row>
    <row r="139">
      <c r="A139" s="9" t="inlineStr">
        <is>
          <t>185971-78</t>
        </is>
      </c>
      <c r="B139" s="10" t="inlineStr">
        <is>
          <t>EatAndTheCity</t>
        </is>
      </c>
      <c r="C139" s="11" t="inlineStr">
        <is>
          <t/>
        </is>
      </c>
      <c r="D139" s="12" t="inlineStr">
        <is>
          <t/>
        </is>
      </c>
      <c r="E139" s="13" t="inlineStr">
        <is>
          <t>185971-78</t>
        </is>
      </c>
      <c r="F139" s="14" t="inlineStr">
        <is>
          <t>Provider of an artificial intelligence based online platform intended to offer white label restaurant discovery services. The company's artificial intelligence based online platform combines feedback from journalists, food critics and local users into unbiased reviews of nearby restaurants and takeaways, enabling users to discover and book white label restaurants in their city.</t>
        </is>
      </c>
      <c r="G139" s="15" t="inlineStr">
        <is>
          <t>Consumer Products and Services (B2C)</t>
        </is>
      </c>
      <c r="H139" s="16" t="inlineStr">
        <is>
          <t>Media</t>
        </is>
      </c>
      <c r="I139" s="17" t="inlineStr">
        <is>
          <t>Information Services (B2C)</t>
        </is>
      </c>
      <c r="J139" s="18" t="inlineStr">
        <is>
          <t>Information Services (B2C)*; Restaurants and Bars; Application Software</t>
        </is>
      </c>
      <c r="K139" s="19" t="inlineStr">
        <is>
          <t>Artificial Intelligence &amp; Machine Learning</t>
        </is>
      </c>
      <c r="L139" s="20" t="inlineStr">
        <is>
          <t>Venture Capital-Backed</t>
        </is>
      </c>
      <c r="M139" s="21" t="n">
        <v>3.3</v>
      </c>
      <c r="N139" s="22" t="inlineStr">
        <is>
          <t>Generating Revenue</t>
        </is>
      </c>
      <c r="O139" s="23" t="inlineStr">
        <is>
          <t>Privately Held (backing)</t>
        </is>
      </c>
      <c r="P139" s="24" t="inlineStr">
        <is>
          <t>Venture Capital</t>
        </is>
      </c>
      <c r="Q139" s="25" t="inlineStr">
        <is>
          <t>www.eatandthecity.com</t>
        </is>
      </c>
      <c r="R139" s="26" t="inlineStr">
        <is>
          <t/>
        </is>
      </c>
      <c r="S139" s="27" t="inlineStr">
        <is>
          <t/>
        </is>
      </c>
      <c r="T139" s="28" t="inlineStr">
        <is>
          <t/>
        </is>
      </c>
      <c r="U139" s="29" t="inlineStr">
        <is>
          <t/>
        </is>
      </c>
      <c r="V139" s="30" t="inlineStr">
        <is>
          <t/>
        </is>
      </c>
      <c r="W139" s="31" t="inlineStr">
        <is>
          <t/>
        </is>
      </c>
      <c r="X139" s="32" t="inlineStr">
        <is>
          <t/>
        </is>
      </c>
      <c r="Y139" s="33" t="inlineStr">
        <is>
          <t/>
        </is>
      </c>
      <c r="Z139" s="34" t="inlineStr">
        <is>
          <t/>
        </is>
      </c>
      <c r="AA139" s="35" t="inlineStr">
        <is>
          <t/>
        </is>
      </c>
      <c r="AB139" s="36" t="inlineStr">
        <is>
          <t/>
        </is>
      </c>
      <c r="AC139" s="37" t="inlineStr">
        <is>
          <t/>
        </is>
      </c>
      <c r="AD139" s="38" t="inlineStr">
        <is>
          <t/>
        </is>
      </c>
      <c r="AE139" s="39" t="inlineStr">
        <is>
          <t>173738-35P</t>
        </is>
      </c>
      <c r="AF139" s="40" t="inlineStr">
        <is>
          <t>Ilkka Lavas</t>
        </is>
      </c>
      <c r="AG139" s="41" t="inlineStr">
        <is>
          <t>Co-Founder &amp; Chief Executive Officer</t>
        </is>
      </c>
      <c r="AH139" s="42" t="inlineStr">
        <is>
          <t>ilkka.lavas@eatandthecity.com</t>
        </is>
      </c>
      <c r="AI139" s="43" t="inlineStr">
        <is>
          <t/>
        </is>
      </c>
      <c r="AJ139" s="44" t="inlineStr">
        <is>
          <t>Helsinki, Finland</t>
        </is>
      </c>
      <c r="AK139" s="45" t="inlineStr">
        <is>
          <t/>
        </is>
      </c>
      <c r="AL139" s="46" t="inlineStr">
        <is>
          <t/>
        </is>
      </c>
      <c r="AM139" s="47" t="inlineStr">
        <is>
          <t>Helsinki</t>
        </is>
      </c>
      <c r="AN139" s="48" t="inlineStr">
        <is>
          <t/>
        </is>
      </c>
      <c r="AO139" s="49" t="inlineStr">
        <is>
          <t/>
        </is>
      </c>
      <c r="AP139" s="50" t="inlineStr">
        <is>
          <t>Finland</t>
        </is>
      </c>
      <c r="AQ139" s="51" t="inlineStr">
        <is>
          <t/>
        </is>
      </c>
      <c r="AR139" s="52" t="inlineStr">
        <is>
          <t/>
        </is>
      </c>
      <c r="AS139" s="53" t="inlineStr">
        <is>
          <t>ilkka.lavas@eatandthecity.com</t>
        </is>
      </c>
      <c r="AT139" s="54" t="inlineStr">
        <is>
          <t>Europe</t>
        </is>
      </c>
      <c r="AU139" s="55" t="inlineStr">
        <is>
          <t>Northern Europe</t>
        </is>
      </c>
      <c r="AV139" s="56" t="inlineStr">
        <is>
          <t>The company raised EUR 3.3 million of venture funding in a deal led by Wallstreet Group on November 2, 2017. Gorilla Ventures, Arteel Ventures, Tekes and other undisclosed individual investors also participated in this round. The company intends to use the funds to expand its platform.</t>
        </is>
      </c>
      <c r="AW139" s="57" t="inlineStr">
        <is>
          <t>Arteel Ventures, Gorilla Ventures, LavasDesign, Tekes, Wallstreet Group</t>
        </is>
      </c>
      <c r="AX139" s="58" t="n">
        <v>5.0</v>
      </c>
      <c r="AY139" s="59" t="inlineStr">
        <is>
          <t/>
        </is>
      </c>
      <c r="AZ139" s="60" t="inlineStr">
        <is>
          <t/>
        </is>
      </c>
      <c r="BA139" s="61" t="inlineStr">
        <is>
          <t/>
        </is>
      </c>
      <c r="BB139" s="62" t="inlineStr">
        <is>
          <t>Arteel Ventures (www.arteel.fi), Gorilla Ventures (gorillaventures.fi), Tekes (www.tekes.fi), Wallstreet Group (www.wallstreet.fi)</t>
        </is>
      </c>
      <c r="BC139" s="63" t="inlineStr">
        <is>
          <t/>
        </is>
      </c>
      <c r="BD139" s="64" t="inlineStr">
        <is>
          <t/>
        </is>
      </c>
      <c r="BE139" s="65" t="inlineStr">
        <is>
          <t/>
        </is>
      </c>
      <c r="BF139" s="66" t="inlineStr">
        <is>
          <t/>
        </is>
      </c>
      <c r="BG139" s="67" t="inlineStr">
        <is>
          <t/>
        </is>
      </c>
      <c r="BH139" s="68" t="inlineStr">
        <is>
          <t/>
        </is>
      </c>
      <c r="BI139" s="69" t="inlineStr">
        <is>
          <t/>
        </is>
      </c>
      <c r="BJ139" s="70" t="inlineStr">
        <is>
          <t/>
        </is>
      </c>
      <c r="BK139" s="71" t="inlineStr">
        <is>
          <t/>
        </is>
      </c>
      <c r="BL139" s="72" t="inlineStr">
        <is>
          <t>Accelerator/Incubator</t>
        </is>
      </c>
      <c r="BM139" s="73" t="inlineStr">
        <is>
          <t/>
        </is>
      </c>
      <c r="BN139" s="74" t="inlineStr">
        <is>
          <t/>
        </is>
      </c>
      <c r="BO139" s="75" t="inlineStr">
        <is>
          <t>Other</t>
        </is>
      </c>
      <c r="BP139" s="76" t="inlineStr">
        <is>
          <t/>
        </is>
      </c>
      <c r="BQ139" s="77" t="inlineStr">
        <is>
          <t/>
        </is>
      </c>
      <c r="BR139" s="78" t="inlineStr">
        <is>
          <t/>
        </is>
      </c>
      <c r="BS139" s="79" t="inlineStr">
        <is>
          <t>Completed</t>
        </is>
      </c>
      <c r="BT139" s="80" t="n">
        <v>43041.0</v>
      </c>
      <c r="BU139" s="81" t="n">
        <v>3.3</v>
      </c>
      <c r="BV139" s="82" t="inlineStr">
        <is>
          <t>Actual</t>
        </is>
      </c>
      <c r="BW139" s="83" t="inlineStr">
        <is>
          <t/>
        </is>
      </c>
      <c r="BX139" s="84" t="inlineStr">
        <is>
          <t/>
        </is>
      </c>
      <c r="BY139" s="85" t="inlineStr">
        <is>
          <t>Early Stage VC</t>
        </is>
      </c>
      <c r="BZ139" s="86" t="inlineStr">
        <is>
          <t/>
        </is>
      </c>
      <c r="CA139" s="87" t="inlineStr">
        <is>
          <t/>
        </is>
      </c>
      <c r="CB139" s="88" t="inlineStr">
        <is>
          <t>Venture Capital</t>
        </is>
      </c>
      <c r="CC139" s="89" t="inlineStr">
        <is>
          <t/>
        </is>
      </c>
      <c r="CD139" s="90" t="inlineStr">
        <is>
          <t/>
        </is>
      </c>
      <c r="CE139" s="91" t="inlineStr">
        <is>
          <t/>
        </is>
      </c>
      <c r="CF139" s="92" t="inlineStr">
        <is>
          <t>Completed</t>
        </is>
      </c>
      <c r="CG139" s="93" t="inlineStr">
        <is>
          <t>0,00%</t>
        </is>
      </c>
      <c r="CH139" s="94" t="inlineStr">
        <is>
          <t>33</t>
        </is>
      </c>
      <c r="CI139" s="95" t="inlineStr">
        <is>
          <t>0,00%</t>
        </is>
      </c>
      <c r="CJ139" s="96" t="inlineStr">
        <is>
          <t>0,00%</t>
        </is>
      </c>
      <c r="CK139" s="97" t="inlineStr">
        <is>
          <t>0,00%</t>
        </is>
      </c>
      <c r="CL139" s="98" t="inlineStr">
        <is>
          <t>28</t>
        </is>
      </c>
      <c r="CM139" s="99" t="inlineStr">
        <is>
          <t/>
        </is>
      </c>
      <c r="CN139" s="100" t="inlineStr">
        <is>
          <t/>
        </is>
      </c>
      <c r="CO139" s="101" t="inlineStr">
        <is>
          <t/>
        </is>
      </c>
      <c r="CP139" s="102" t="inlineStr">
        <is>
          <t/>
        </is>
      </c>
      <c r="CQ139" s="103" t="inlineStr">
        <is>
          <t>0,00%</t>
        </is>
      </c>
      <c r="CR139" s="104" t="inlineStr">
        <is>
          <t>20</t>
        </is>
      </c>
      <c r="CS139" s="105" t="inlineStr">
        <is>
          <t/>
        </is>
      </c>
      <c r="CT139" s="106" t="inlineStr">
        <is>
          <t/>
        </is>
      </c>
      <c r="CU139" s="107" t="inlineStr">
        <is>
          <t/>
        </is>
      </c>
      <c r="CV139" s="108" t="inlineStr">
        <is>
          <t/>
        </is>
      </c>
      <c r="CW139" s="109" t="inlineStr">
        <is>
          <t>0,50x</t>
        </is>
      </c>
      <c r="CX139" s="110" t="inlineStr">
        <is>
          <t>33</t>
        </is>
      </c>
      <c r="CY139" s="111" t="inlineStr">
        <is>
          <t>0,03x</t>
        </is>
      </c>
      <c r="CZ139" s="112" t="inlineStr">
        <is>
          <t>5,88%</t>
        </is>
      </c>
      <c r="DA139" s="113" t="inlineStr">
        <is>
          <t>0,50x</t>
        </is>
      </c>
      <c r="DB139" s="114" t="inlineStr">
        <is>
          <t>34</t>
        </is>
      </c>
      <c r="DC139" s="115" t="inlineStr">
        <is>
          <t/>
        </is>
      </c>
      <c r="DD139" s="116" t="inlineStr">
        <is>
          <t/>
        </is>
      </c>
      <c r="DE139" s="117" t="inlineStr">
        <is>
          <t/>
        </is>
      </c>
      <c r="DF139" s="118" t="inlineStr">
        <is>
          <t/>
        </is>
      </c>
      <c r="DG139" s="119" t="inlineStr">
        <is>
          <t>0,50x</t>
        </is>
      </c>
      <c r="DH139" s="120" t="inlineStr">
        <is>
          <t>35</t>
        </is>
      </c>
      <c r="DI139" s="121" t="inlineStr">
        <is>
          <t/>
        </is>
      </c>
      <c r="DJ139" s="122" t="inlineStr">
        <is>
          <t/>
        </is>
      </c>
      <c r="DK139" s="123" t="inlineStr">
        <is>
          <t/>
        </is>
      </c>
      <c r="DL139" s="124" t="inlineStr">
        <is>
          <t/>
        </is>
      </c>
      <c r="DM139" s="125" t="inlineStr">
        <is>
          <t/>
        </is>
      </c>
      <c r="DN139" s="126" t="inlineStr">
        <is>
          <t/>
        </is>
      </c>
      <c r="DO139" s="127" t="inlineStr">
        <is>
          <t/>
        </is>
      </c>
      <c r="DP139" s="128" t="inlineStr">
        <is>
          <t>84</t>
        </is>
      </c>
      <c r="DQ139" s="129" t="inlineStr">
        <is>
          <t>2</t>
        </is>
      </c>
      <c r="DR139" s="130" t="inlineStr">
        <is>
          <t>2,44%</t>
        </is>
      </c>
      <c r="DS139" s="131" t="inlineStr">
        <is>
          <t>17</t>
        </is>
      </c>
      <c r="DT139" s="132" t="inlineStr">
        <is>
          <t>1</t>
        </is>
      </c>
      <c r="DU139" s="133" t="inlineStr">
        <is>
          <t>6,25%</t>
        </is>
      </c>
      <c r="DV139" s="134" t="inlineStr">
        <is>
          <t/>
        </is>
      </c>
      <c r="DW139" s="135" t="inlineStr">
        <is>
          <t/>
        </is>
      </c>
      <c r="DX139" s="136" t="inlineStr">
        <is>
          <t/>
        </is>
      </c>
      <c r="DY139" s="137" t="inlineStr">
        <is>
          <t>PitchBook Research</t>
        </is>
      </c>
      <c r="DZ139" s="785">
        <f>HYPERLINK("https://my.pitchbook.com?c=185971-78", "View company online")</f>
      </c>
    </row>
    <row r="140">
      <c r="A140" s="139" t="inlineStr">
        <is>
          <t>86664-52</t>
        </is>
      </c>
      <c r="B140" s="140" t="inlineStr">
        <is>
          <t>Localz</t>
        </is>
      </c>
      <c r="C140" s="141" t="inlineStr">
        <is>
          <t/>
        </is>
      </c>
      <c r="D140" s="142" t="inlineStr">
        <is>
          <t/>
        </is>
      </c>
      <c r="E140" s="143" t="inlineStr">
        <is>
          <t>86664-52</t>
        </is>
      </c>
      <c r="F140" s="144" t="inlineStr">
        <is>
          <t>Provider of a location orchestration platforms designed to offer micro-location experiences and iBeacon tools for enterprises. The company's location orchestration platforms offers contextual content delivery, asset tracking and frictionless mobile payments for logistics, retail and utility businesses with bespoke tools and an integration framework to integrate and analyse last mile events from existing systems of records, enabling enterprise clients to deploy production ready micro-location technologies with a range of ready-made adaptors to work with existing systems and processes.</t>
        </is>
      </c>
      <c r="G140" s="145" t="inlineStr">
        <is>
          <t>Business Products and Services (B2B)</t>
        </is>
      </c>
      <c r="H140" s="146" t="inlineStr">
        <is>
          <t>Commercial Services</t>
        </is>
      </c>
      <c r="I140" s="147" t="inlineStr">
        <is>
          <t>Logistics</t>
        </is>
      </c>
      <c r="J140" s="148" t="inlineStr">
        <is>
          <t>Logistics*; Media and Information Services (B2B); Other Retail; Social/Platform Software</t>
        </is>
      </c>
      <c r="K140" s="149" t="inlineStr">
        <is>
          <t>FinTech, SaaS</t>
        </is>
      </c>
      <c r="L140" s="150" t="inlineStr">
        <is>
          <t>Venture Capital-Backed</t>
        </is>
      </c>
      <c r="M140" s="151" t="n">
        <v>3.34</v>
      </c>
      <c r="N140" s="152" t="inlineStr">
        <is>
          <t>Generating Revenue</t>
        </is>
      </c>
      <c r="O140" s="153" t="inlineStr">
        <is>
          <t>Privately Held (backing)</t>
        </is>
      </c>
      <c r="P140" s="154" t="inlineStr">
        <is>
          <t>Venture Capital</t>
        </is>
      </c>
      <c r="Q140" s="155" t="inlineStr">
        <is>
          <t>www.localz.com</t>
        </is>
      </c>
      <c r="R140" s="156" t="n">
        <v>7.0</v>
      </c>
      <c r="S140" s="157" t="inlineStr">
        <is>
          <t/>
        </is>
      </c>
      <c r="T140" s="158" t="inlineStr">
        <is>
          <t/>
        </is>
      </c>
      <c r="U140" s="159" t="n">
        <v>2013.0</v>
      </c>
      <c r="V140" s="160" t="inlineStr">
        <is>
          <t/>
        </is>
      </c>
      <c r="W140" s="161" t="inlineStr">
        <is>
          <t/>
        </is>
      </c>
      <c r="X140" s="162" t="inlineStr">
        <is>
          <t/>
        </is>
      </c>
      <c r="Y140" s="163" t="inlineStr">
        <is>
          <t/>
        </is>
      </c>
      <c r="Z140" s="164" t="inlineStr">
        <is>
          <t/>
        </is>
      </c>
      <c r="AA140" s="165" t="inlineStr">
        <is>
          <t/>
        </is>
      </c>
      <c r="AB140" s="166" t="inlineStr">
        <is>
          <t/>
        </is>
      </c>
      <c r="AC140" s="167" t="inlineStr">
        <is>
          <t/>
        </is>
      </c>
      <c r="AD140" s="168" t="inlineStr">
        <is>
          <t/>
        </is>
      </c>
      <c r="AE140" s="169" t="inlineStr">
        <is>
          <t>83331-73P</t>
        </is>
      </c>
      <c r="AF140" s="170" t="inlineStr">
        <is>
          <t>Peter Williams</t>
        </is>
      </c>
      <c r="AG140" s="171" t="inlineStr">
        <is>
          <t>Product Director &amp; Co-Founder</t>
        </is>
      </c>
      <c r="AH140" s="172" t="inlineStr">
        <is>
          <t/>
        </is>
      </c>
      <c r="AI140" s="173" t="inlineStr">
        <is>
          <t>+61 (0)3 8899 6916</t>
        </is>
      </c>
      <c r="AJ140" s="174" t="inlineStr">
        <is>
          <t>London, United Kingdom</t>
        </is>
      </c>
      <c r="AK140" s="175" t="inlineStr">
        <is>
          <t>Level 2, Aldwych House</t>
        </is>
      </c>
      <c r="AL140" s="176" t="inlineStr">
        <is>
          <t>71-91 Aldwych</t>
        </is>
      </c>
      <c r="AM140" s="177" t="inlineStr">
        <is>
          <t>London</t>
        </is>
      </c>
      <c r="AN140" s="178" t="inlineStr">
        <is>
          <t>England</t>
        </is>
      </c>
      <c r="AO140" s="179" t="inlineStr">
        <is>
          <t>WC2B 4HN</t>
        </is>
      </c>
      <c r="AP140" s="180" t="inlineStr">
        <is>
          <t>United Kingdom</t>
        </is>
      </c>
      <c r="AQ140" s="181" t="inlineStr">
        <is>
          <t>+44 (0)20 3389 9766</t>
        </is>
      </c>
      <c r="AR140" s="182" t="inlineStr">
        <is>
          <t/>
        </is>
      </c>
      <c r="AS140" s="183" t="inlineStr">
        <is>
          <t>hello@localz.com</t>
        </is>
      </c>
      <c r="AT140" s="184" t="inlineStr">
        <is>
          <t>Europe</t>
        </is>
      </c>
      <c r="AU140" s="185" t="inlineStr">
        <is>
          <t>Western Europe</t>
        </is>
      </c>
      <c r="AV140" s="186" t="inlineStr">
        <is>
          <t>The company raised AUD 4 million of Series A venture funding from Notion Capital and GeoPost on September 13, 2017. The funds will be used to help the start-up increase market share and enter the US.</t>
        </is>
      </c>
      <c r="AW140" s="187" t="inlineStr">
        <is>
          <t>GeoPost, JLAB, L Marks, Notion Capital, Start Tank Incubator</t>
        </is>
      </c>
      <c r="AX140" s="188" t="n">
        <v>5.0</v>
      </c>
      <c r="AY140" s="189" t="inlineStr">
        <is>
          <t/>
        </is>
      </c>
      <c r="AZ140" s="190" t="inlineStr">
        <is>
          <t/>
        </is>
      </c>
      <c r="BA140" s="191" t="inlineStr">
        <is>
          <t/>
        </is>
      </c>
      <c r="BB140" s="192" t="inlineStr">
        <is>
          <t>GeoPost (www.geopostgroup.com), JLAB (www.jlab.co.uk), L Marks (www.lmarks.com), Notion Capital (www.notioncapital.com), Start Tank Incubator (www.paypal-incubator.com)</t>
        </is>
      </c>
      <c r="BC140" s="193" t="inlineStr">
        <is>
          <t/>
        </is>
      </c>
      <c r="BD140" s="194" t="inlineStr">
        <is>
          <t/>
        </is>
      </c>
      <c r="BE140" s="195" t="inlineStr">
        <is>
          <t/>
        </is>
      </c>
      <c r="BF140" s="196" t="inlineStr">
        <is>
          <t>DLA Piper (Legal Advisor)</t>
        </is>
      </c>
      <c r="BG140" s="197" t="inlineStr">
        <is>
          <t/>
        </is>
      </c>
      <c r="BH140" s="198" t="n">
        <v>0.54</v>
      </c>
      <c r="BI140" s="199" t="inlineStr">
        <is>
          <t>Actual</t>
        </is>
      </c>
      <c r="BJ140" s="200" t="inlineStr">
        <is>
          <t/>
        </is>
      </c>
      <c r="BK140" s="201" t="inlineStr">
        <is>
          <t/>
        </is>
      </c>
      <c r="BL140" s="202" t="inlineStr">
        <is>
          <t>Seed Round</t>
        </is>
      </c>
      <c r="BM140" s="203" t="inlineStr">
        <is>
          <t>Seed</t>
        </is>
      </c>
      <c r="BN140" s="204" t="inlineStr">
        <is>
          <t/>
        </is>
      </c>
      <c r="BO140" s="205" t="inlineStr">
        <is>
          <t>Other</t>
        </is>
      </c>
      <c r="BP140" s="206" t="inlineStr">
        <is>
          <t/>
        </is>
      </c>
      <c r="BQ140" s="207" t="inlineStr">
        <is>
          <t/>
        </is>
      </c>
      <c r="BR140" s="208" t="inlineStr">
        <is>
          <t/>
        </is>
      </c>
      <c r="BS140" s="209" t="inlineStr">
        <is>
          <t>Completed</t>
        </is>
      </c>
      <c r="BT140" s="210" t="n">
        <v>42991.0</v>
      </c>
      <c r="BU140" s="211" t="n">
        <v>2.68</v>
      </c>
      <c r="BV140" s="212" t="inlineStr">
        <is>
          <t>Actual</t>
        </is>
      </c>
      <c r="BW140" s="213" t="inlineStr">
        <is>
          <t/>
        </is>
      </c>
      <c r="BX140" s="214" t="inlineStr">
        <is>
          <t/>
        </is>
      </c>
      <c r="BY140" s="215" t="inlineStr">
        <is>
          <t>Early Stage VC</t>
        </is>
      </c>
      <c r="BZ140" s="216" t="inlineStr">
        <is>
          <t>Series A</t>
        </is>
      </c>
      <c r="CA140" s="217" t="inlineStr">
        <is>
          <t/>
        </is>
      </c>
      <c r="CB140" s="218" t="inlineStr">
        <is>
          <t>Venture Capital</t>
        </is>
      </c>
      <c r="CC140" s="219" t="inlineStr">
        <is>
          <t/>
        </is>
      </c>
      <c r="CD140" s="220" t="inlineStr">
        <is>
          <t/>
        </is>
      </c>
      <c r="CE140" s="221" t="inlineStr">
        <is>
          <t/>
        </is>
      </c>
      <c r="CF140" s="222" t="inlineStr">
        <is>
          <t>Completed</t>
        </is>
      </c>
      <c r="CG140" s="223" t="inlineStr">
        <is>
          <t>0,00%</t>
        </is>
      </c>
      <c r="CH140" s="224" t="inlineStr">
        <is>
          <t>33</t>
        </is>
      </c>
      <c r="CI140" s="225" t="inlineStr">
        <is>
          <t>0,00%</t>
        </is>
      </c>
      <c r="CJ140" s="226" t="inlineStr">
        <is>
          <t>0,00%</t>
        </is>
      </c>
      <c r="CK140" s="227" t="inlineStr">
        <is>
          <t/>
        </is>
      </c>
      <c r="CL140" s="228" t="inlineStr">
        <is>
          <t/>
        </is>
      </c>
      <c r="CM140" s="229" t="inlineStr">
        <is>
          <t>0,00%</t>
        </is>
      </c>
      <c r="CN140" s="230" t="inlineStr">
        <is>
          <t>20</t>
        </is>
      </c>
      <c r="CO140" s="231" t="inlineStr">
        <is>
          <t/>
        </is>
      </c>
      <c r="CP140" s="232" t="inlineStr">
        <is>
          <t/>
        </is>
      </c>
      <c r="CQ140" s="233" t="inlineStr">
        <is>
          <t/>
        </is>
      </c>
      <c r="CR140" s="234" t="inlineStr">
        <is>
          <t/>
        </is>
      </c>
      <c r="CS140" s="235" t="inlineStr">
        <is>
          <t>0,00%</t>
        </is>
      </c>
      <c r="CT140" s="236" t="inlineStr">
        <is>
          <t>18</t>
        </is>
      </c>
      <c r="CU140" s="237" t="inlineStr">
        <is>
          <t>0,00%</t>
        </is>
      </c>
      <c r="CV140" s="238" t="inlineStr">
        <is>
          <t>21</t>
        </is>
      </c>
      <c r="CW140" s="239" t="inlineStr">
        <is>
          <t>0,03x</t>
        </is>
      </c>
      <c r="CX140" s="240" t="inlineStr">
        <is>
          <t>1</t>
        </is>
      </c>
      <c r="CY140" s="241" t="inlineStr">
        <is>
          <t>0,00x</t>
        </is>
      </c>
      <c r="CZ140" s="242" t="inlineStr">
        <is>
          <t>5,18%</t>
        </is>
      </c>
      <c r="DA140" s="243" t="inlineStr">
        <is>
          <t/>
        </is>
      </c>
      <c r="DB140" s="244" t="inlineStr">
        <is>
          <t/>
        </is>
      </c>
      <c r="DC140" s="245" t="inlineStr">
        <is>
          <t>0,03x</t>
        </is>
      </c>
      <c r="DD140" s="246" t="inlineStr">
        <is>
          <t>5</t>
        </is>
      </c>
      <c r="DE140" s="247" t="inlineStr">
        <is>
          <t/>
        </is>
      </c>
      <c r="DF140" s="248" t="inlineStr">
        <is>
          <t/>
        </is>
      </c>
      <c r="DG140" s="249" t="inlineStr">
        <is>
          <t/>
        </is>
      </c>
      <c r="DH140" s="250" t="inlineStr">
        <is>
          <t/>
        </is>
      </c>
      <c r="DI140" s="251" t="inlineStr">
        <is>
          <t>0,04x</t>
        </is>
      </c>
      <c r="DJ140" s="252" t="inlineStr">
        <is>
          <t>7</t>
        </is>
      </c>
      <c r="DK140" s="253" t="inlineStr">
        <is>
          <t>0,02x</t>
        </is>
      </c>
      <c r="DL140" s="254" t="inlineStr">
        <is>
          <t>4</t>
        </is>
      </c>
      <c r="DM140" s="255" t="inlineStr">
        <is>
          <t/>
        </is>
      </c>
      <c r="DN140" s="256" t="inlineStr">
        <is>
          <t/>
        </is>
      </c>
      <c r="DO140" s="257" t="inlineStr">
        <is>
          <t/>
        </is>
      </c>
      <c r="DP140" s="258" t="inlineStr">
        <is>
          <t>32</t>
        </is>
      </c>
      <c r="DQ140" s="259" t="inlineStr">
        <is>
          <t>3</t>
        </is>
      </c>
      <c r="DR140" s="260" t="inlineStr">
        <is>
          <t>10,34%</t>
        </is>
      </c>
      <c r="DS140" s="261" t="inlineStr">
        <is>
          <t/>
        </is>
      </c>
      <c r="DT140" s="262" t="inlineStr">
        <is>
          <t/>
        </is>
      </c>
      <c r="DU140" s="263" t="inlineStr">
        <is>
          <t/>
        </is>
      </c>
      <c r="DV140" s="264" t="inlineStr">
        <is>
          <t>9</t>
        </is>
      </c>
      <c r="DW140" s="265" t="inlineStr">
        <is>
          <t>0</t>
        </is>
      </c>
      <c r="DX140" s="266" t="inlineStr">
        <is>
          <t>0,00%</t>
        </is>
      </c>
      <c r="DY140" s="267" t="inlineStr">
        <is>
          <t>PitchBook Research</t>
        </is>
      </c>
      <c r="DZ140" s="786">
        <f>HYPERLINK("https://my.pitchbook.com?c=86664-52", "View company online")</f>
      </c>
    </row>
    <row r="141">
      <c r="A141" s="9" t="inlineStr">
        <is>
          <t>222621-40</t>
        </is>
      </c>
      <c r="B141" s="10" t="inlineStr">
        <is>
          <t>APEXX Fintech</t>
        </is>
      </c>
      <c r="C141" s="11" t="inlineStr">
        <is>
          <t/>
        </is>
      </c>
      <c r="D141" s="12" t="inlineStr">
        <is>
          <t/>
        </is>
      </c>
      <c r="E141" s="13" t="inlineStr">
        <is>
          <t>222621-40</t>
        </is>
      </c>
      <c r="F141" s="14" t="inlineStr">
        <is>
          <t>Provider of an online platform intended to offer a marketplace for global payments. The company's online platform helps in consolidating global payment providers into a single integration point, optimising the cost of complex payment ecosystems.</t>
        </is>
      </c>
      <c r="G141" s="15" t="inlineStr">
        <is>
          <t>Financial Services</t>
        </is>
      </c>
      <c r="H141" s="16" t="inlineStr">
        <is>
          <t>Other Financial Services</t>
        </is>
      </c>
      <c r="I141" s="17" t="inlineStr">
        <is>
          <t>Other Financial Services</t>
        </is>
      </c>
      <c r="J141" s="18" t="inlineStr">
        <is>
          <t>Other Financial Services*; Application Software</t>
        </is>
      </c>
      <c r="K141" s="19" t="inlineStr">
        <is>
          <t>FinTech</t>
        </is>
      </c>
      <c r="L141" s="20" t="inlineStr">
        <is>
          <t>Venture Capital-Backed</t>
        </is>
      </c>
      <c r="M141" s="21" t="n">
        <v>3.4</v>
      </c>
      <c r="N141" s="22" t="inlineStr">
        <is>
          <t>Generating Revenue</t>
        </is>
      </c>
      <c r="O141" s="23" t="inlineStr">
        <is>
          <t>Privately Held (backing)</t>
        </is>
      </c>
      <c r="P141" s="24" t="inlineStr">
        <is>
          <t>Venture Capital</t>
        </is>
      </c>
      <c r="Q141" s="25" t="inlineStr">
        <is>
          <t>www.apexxfintech.com</t>
        </is>
      </c>
      <c r="R141" s="26" t="inlineStr">
        <is>
          <t/>
        </is>
      </c>
      <c r="S141" s="27" t="inlineStr">
        <is>
          <t/>
        </is>
      </c>
      <c r="T141" s="28" t="inlineStr">
        <is>
          <t/>
        </is>
      </c>
      <c r="U141" s="29" t="n">
        <v>2016.0</v>
      </c>
      <c r="V141" s="30" t="inlineStr">
        <is>
          <t/>
        </is>
      </c>
      <c r="W141" s="31" t="inlineStr">
        <is>
          <r>
            <rPr>
              <b/>
              <color rgb="ff26854d"/>
              <rFont val="Arial"/>
              <sz val="8.0"/>
            </rPr>
            <t>New Company</t>
          </r>
        </is>
      </c>
      <c r="X141" s="32" t="inlineStr">
        <is>
          <r>
            <rPr>
              <b/>
              <color rgb="ff26854d"/>
              <rFont val="Arial"/>
              <sz val="8.0"/>
            </rPr>
            <t>New Company</t>
          </r>
        </is>
      </c>
      <c r="Y141" s="33" t="inlineStr">
        <is>
          <t/>
        </is>
      </c>
      <c r="Z141" s="34" t="inlineStr">
        <is>
          <t/>
        </is>
      </c>
      <c r="AA141" s="35" t="inlineStr">
        <is>
          <t/>
        </is>
      </c>
      <c r="AB141" s="36" t="inlineStr">
        <is>
          <t/>
        </is>
      </c>
      <c r="AC141" s="37" t="inlineStr">
        <is>
          <t/>
        </is>
      </c>
      <c r="AD141" s="38" t="inlineStr">
        <is>
          <t/>
        </is>
      </c>
      <c r="AE141" s="39" t="inlineStr">
        <is>
          <t>175346-92P</t>
        </is>
      </c>
      <c r="AF141" s="40" t="inlineStr">
        <is>
          <t>Peter Keenan</t>
        </is>
      </c>
      <c r="AG141" s="41" t="inlineStr">
        <is>
          <t>Chief Executive Officer &amp; Co-Founder</t>
        </is>
      </c>
      <c r="AH141" s="42" t="inlineStr">
        <is>
          <t>pkeenan@apexxfintech.com</t>
        </is>
      </c>
      <c r="AI141" s="43" t="inlineStr">
        <is>
          <t>+44 (0)20 8133 1911</t>
        </is>
      </c>
      <c r="AJ141" s="44" t="inlineStr">
        <is>
          <t>London, United Kingdom</t>
        </is>
      </c>
      <c r="AK141" s="45" t="inlineStr">
        <is>
          <t>6-8 Bonhill Street</t>
        </is>
      </c>
      <c r="AL141" s="46" t="inlineStr">
        <is>
          <t/>
        </is>
      </c>
      <c r="AM141" s="47" t="inlineStr">
        <is>
          <t>London</t>
        </is>
      </c>
      <c r="AN141" s="48" t="inlineStr">
        <is>
          <t>England</t>
        </is>
      </c>
      <c r="AO141" s="49" t="inlineStr">
        <is>
          <t>EC2A 4BX</t>
        </is>
      </c>
      <c r="AP141" s="50" t="inlineStr">
        <is>
          <t>United Kingdom</t>
        </is>
      </c>
      <c r="AQ141" s="51" t="inlineStr">
        <is>
          <t>+44 (0)20 8133 1911</t>
        </is>
      </c>
      <c r="AR141" s="52" t="inlineStr">
        <is>
          <t/>
        </is>
      </c>
      <c r="AS141" s="53" t="inlineStr">
        <is>
          <t/>
        </is>
      </c>
      <c r="AT141" s="54" t="inlineStr">
        <is>
          <t>Europe</t>
        </is>
      </c>
      <c r="AU141" s="55" t="inlineStr">
        <is>
          <t>Western Europe</t>
        </is>
      </c>
      <c r="AV141" s="56" t="inlineStr">
        <is>
          <t>The company raised $4 million of seed funding in a deal led by Forward Partners on November 29, 2017. MMC Ventures and Alliance Venture also participated in this round.</t>
        </is>
      </c>
      <c r="AW141" s="57" t="inlineStr">
        <is>
          <t>Alliance Venture, Forward Partners, Innovate UK, MMC Ventures</t>
        </is>
      </c>
      <c r="AX141" s="58" t="n">
        <v>4.0</v>
      </c>
      <c r="AY141" s="59" t="inlineStr">
        <is>
          <t/>
        </is>
      </c>
      <c r="AZ141" s="60" t="inlineStr">
        <is>
          <t/>
        </is>
      </c>
      <c r="BA141" s="61" t="inlineStr">
        <is>
          <t/>
        </is>
      </c>
      <c r="BB141" s="62" t="inlineStr">
        <is>
          <t>Alliance Venture (www.allianceventure.com), Forward Partners (www.forwardpartners.com), Innovate UK (www.gov.uk), MMC Ventures (www.mmcventures.com)</t>
        </is>
      </c>
      <c r="BC141" s="63" t="inlineStr">
        <is>
          <t/>
        </is>
      </c>
      <c r="BD141" s="64" t="inlineStr">
        <is>
          <t/>
        </is>
      </c>
      <c r="BE141" s="65" t="inlineStr">
        <is>
          <t/>
        </is>
      </c>
      <c r="BF141" s="66" t="inlineStr">
        <is>
          <t/>
        </is>
      </c>
      <c r="BG141" s="67" t="inlineStr">
        <is>
          <t/>
        </is>
      </c>
      <c r="BH141" s="68" t="inlineStr">
        <is>
          <t/>
        </is>
      </c>
      <c r="BI141" s="69" t="inlineStr">
        <is>
          <t/>
        </is>
      </c>
      <c r="BJ141" s="70" t="inlineStr">
        <is>
          <t/>
        </is>
      </c>
      <c r="BK141" s="71" t="inlineStr">
        <is>
          <t/>
        </is>
      </c>
      <c r="BL141" s="72" t="inlineStr">
        <is>
          <t>Grant</t>
        </is>
      </c>
      <c r="BM141" s="73" t="inlineStr">
        <is>
          <t/>
        </is>
      </c>
      <c r="BN141" s="74" t="inlineStr">
        <is>
          <t/>
        </is>
      </c>
      <c r="BO141" s="75" t="inlineStr">
        <is>
          <t>Other</t>
        </is>
      </c>
      <c r="BP141" s="76" t="inlineStr">
        <is>
          <t/>
        </is>
      </c>
      <c r="BQ141" s="77" t="inlineStr">
        <is>
          <t/>
        </is>
      </c>
      <c r="BR141" s="78" t="inlineStr">
        <is>
          <t/>
        </is>
      </c>
      <c r="BS141" s="79" t="inlineStr">
        <is>
          <t>Completed</t>
        </is>
      </c>
      <c r="BT141" s="80" t="n">
        <v>43068.0</v>
      </c>
      <c r="BU141" s="81" t="n">
        <v>3.4</v>
      </c>
      <c r="BV141" s="82" t="inlineStr">
        <is>
          <t>Actual</t>
        </is>
      </c>
      <c r="BW141" s="83" t="inlineStr">
        <is>
          <t/>
        </is>
      </c>
      <c r="BX141" s="84" t="inlineStr">
        <is>
          <t/>
        </is>
      </c>
      <c r="BY141" s="85" t="inlineStr">
        <is>
          <t>Seed Round</t>
        </is>
      </c>
      <c r="BZ141" s="86" t="inlineStr">
        <is>
          <t>Seed</t>
        </is>
      </c>
      <c r="CA141" s="87" t="inlineStr">
        <is>
          <t/>
        </is>
      </c>
      <c r="CB141" s="88" t="inlineStr">
        <is>
          <t>Venture Capital</t>
        </is>
      </c>
      <c r="CC141" s="89" t="inlineStr">
        <is>
          <t/>
        </is>
      </c>
      <c r="CD141" s="90" t="inlineStr">
        <is>
          <t/>
        </is>
      </c>
      <c r="CE141" s="91" t="inlineStr">
        <is>
          <t/>
        </is>
      </c>
      <c r="CF141" s="92" t="inlineStr">
        <is>
          <t>Completed</t>
        </is>
      </c>
      <c r="CG141" s="93" t="inlineStr">
        <is>
          <t/>
        </is>
      </c>
      <c r="CH141" s="94" t="inlineStr">
        <is>
          <t/>
        </is>
      </c>
      <c r="CI141" s="95" t="inlineStr">
        <is>
          <t/>
        </is>
      </c>
      <c r="CJ141" s="96" t="inlineStr">
        <is>
          <t/>
        </is>
      </c>
      <c r="CK141" s="97" t="inlineStr">
        <is>
          <t/>
        </is>
      </c>
      <c r="CL141" s="98" t="inlineStr">
        <is>
          <t/>
        </is>
      </c>
      <c r="CM141" s="99" t="inlineStr">
        <is>
          <t/>
        </is>
      </c>
      <c r="CN141" s="100" t="inlineStr">
        <is>
          <t/>
        </is>
      </c>
      <c r="CO141" s="101" t="inlineStr">
        <is>
          <t/>
        </is>
      </c>
      <c r="CP141" s="102" t="inlineStr">
        <is>
          <t/>
        </is>
      </c>
      <c r="CQ141" s="103" t="inlineStr">
        <is>
          <t/>
        </is>
      </c>
      <c r="CR141" s="104" t="inlineStr">
        <is>
          <t/>
        </is>
      </c>
      <c r="CS141" s="105" t="inlineStr">
        <is>
          <t/>
        </is>
      </c>
      <c r="CT141" s="106" t="inlineStr">
        <is>
          <t/>
        </is>
      </c>
      <c r="CU141" s="107" t="inlineStr">
        <is>
          <t/>
        </is>
      </c>
      <c r="CV141" s="108" t="inlineStr">
        <is>
          <t/>
        </is>
      </c>
      <c r="CW141" s="109" t="inlineStr">
        <is>
          <t/>
        </is>
      </c>
      <c r="CX141" s="110" t="inlineStr">
        <is>
          <t/>
        </is>
      </c>
      <c r="CY141" s="111" t="inlineStr">
        <is>
          <t/>
        </is>
      </c>
      <c r="CZ141" s="112" t="inlineStr">
        <is>
          <t/>
        </is>
      </c>
      <c r="DA141" s="113" t="inlineStr">
        <is>
          <t/>
        </is>
      </c>
      <c r="DB141" s="114" t="inlineStr">
        <is>
          <t/>
        </is>
      </c>
      <c r="DC141" s="115" t="inlineStr">
        <is>
          <t/>
        </is>
      </c>
      <c r="DD141" s="116" t="inlineStr">
        <is>
          <t/>
        </is>
      </c>
      <c r="DE141" s="117" t="inlineStr">
        <is>
          <t/>
        </is>
      </c>
      <c r="DF141" s="118" t="inlineStr">
        <is>
          <t/>
        </is>
      </c>
      <c r="DG141" s="119" t="inlineStr">
        <is>
          <t/>
        </is>
      </c>
      <c r="DH141" s="120" t="inlineStr">
        <is>
          <t/>
        </is>
      </c>
      <c r="DI141" s="121" t="inlineStr">
        <is>
          <t/>
        </is>
      </c>
      <c r="DJ141" s="122" t="inlineStr">
        <is>
          <t/>
        </is>
      </c>
      <c r="DK141" s="123" t="inlineStr">
        <is>
          <t/>
        </is>
      </c>
      <c r="DL141" s="124" t="inlineStr">
        <is>
          <t/>
        </is>
      </c>
      <c r="DM141" s="125" t="inlineStr">
        <is>
          <t/>
        </is>
      </c>
      <c r="DN141" s="126" t="inlineStr">
        <is>
          <t/>
        </is>
      </c>
      <c r="DO141" s="127" t="inlineStr">
        <is>
          <t/>
        </is>
      </c>
      <c r="DP141" s="128" t="inlineStr">
        <is>
          <t/>
        </is>
      </c>
      <c r="DQ141" s="129" t="inlineStr">
        <is>
          <t/>
        </is>
      </c>
      <c r="DR141" s="130" t="inlineStr">
        <is>
          <t/>
        </is>
      </c>
      <c r="DS141" s="131" t="inlineStr">
        <is>
          <t/>
        </is>
      </c>
      <c r="DT141" s="132" t="inlineStr">
        <is>
          <t/>
        </is>
      </c>
      <c r="DU141" s="133" t="inlineStr">
        <is>
          <t/>
        </is>
      </c>
      <c r="DV141" s="134" t="inlineStr">
        <is>
          <t/>
        </is>
      </c>
      <c r="DW141" s="135" t="inlineStr">
        <is>
          <t/>
        </is>
      </c>
      <c r="DX141" s="136" t="inlineStr">
        <is>
          <t/>
        </is>
      </c>
      <c r="DY141" s="137" t="inlineStr">
        <is>
          <t>PitchBook Research</t>
        </is>
      </c>
      <c r="DZ141" s="785">
        <f>HYPERLINK("https://my.pitchbook.com?c=222621-40", "View company online")</f>
      </c>
    </row>
    <row r="142">
      <c r="A142" s="139" t="inlineStr">
        <is>
          <t>101619-64</t>
        </is>
      </c>
      <c r="B142" s="140" t="inlineStr">
        <is>
          <t>HeadBox</t>
        </is>
      </c>
      <c r="C142" s="141" t="inlineStr">
        <is>
          <t/>
        </is>
      </c>
      <c r="D142" s="142" t="inlineStr">
        <is>
          <t/>
        </is>
      </c>
      <c r="E142" s="143" t="inlineStr">
        <is>
          <t>101619-64</t>
        </is>
      </c>
      <c r="F142" s="144" t="inlineStr">
        <is>
          <t>Provider of an online marketplace created to help users search, book and pay for creative, offsite spaces. The company's platform helps people to search, book and pay online for over 3,000 venues listed across the UK, suitable for all kinds of events, such as workshops, brainstorms, meetings, product launches, research and co-creation, training, media, production and photography shoots, private dining and corporate parties enabling them to save time, effort and money.</t>
        </is>
      </c>
      <c r="G142" s="145" t="inlineStr">
        <is>
          <t>Information Technology</t>
        </is>
      </c>
      <c r="H142" s="146" t="inlineStr">
        <is>
          <t>Software</t>
        </is>
      </c>
      <c r="I142" s="147" t="inlineStr">
        <is>
          <t>Social/Platform Software</t>
        </is>
      </c>
      <c r="J142" s="148" t="inlineStr">
        <is>
          <t>Social/Platform Software*; Other Services (B2C Non-Financial)</t>
        </is>
      </c>
      <c r="K142" s="149" t="inlineStr">
        <is>
          <t>SaaS</t>
        </is>
      </c>
      <c r="L142" s="150" t="inlineStr">
        <is>
          <t>Venture Capital-Backed</t>
        </is>
      </c>
      <c r="M142" s="151" t="n">
        <v>3.44</v>
      </c>
      <c r="N142" s="152" t="inlineStr">
        <is>
          <t>Generating Revenue</t>
        </is>
      </c>
      <c r="O142" s="153" t="inlineStr">
        <is>
          <t>Privately Held (backing)</t>
        </is>
      </c>
      <c r="P142" s="154" t="inlineStr">
        <is>
          <t>Venture Capital</t>
        </is>
      </c>
      <c r="Q142" s="155" t="inlineStr">
        <is>
          <t>www.headbox.com</t>
        </is>
      </c>
      <c r="R142" s="156" t="n">
        <v>6.0</v>
      </c>
      <c r="S142" s="157" t="inlineStr">
        <is>
          <t/>
        </is>
      </c>
      <c r="T142" s="158" t="inlineStr">
        <is>
          <t/>
        </is>
      </c>
      <c r="U142" s="159" t="n">
        <v>2014.0</v>
      </c>
      <c r="V142" s="160" t="inlineStr">
        <is>
          <t/>
        </is>
      </c>
      <c r="W142" s="161" t="inlineStr">
        <is>
          <t/>
        </is>
      </c>
      <c r="X142" s="162" t="inlineStr">
        <is>
          <t/>
        </is>
      </c>
      <c r="Y142" s="163" t="inlineStr">
        <is>
          <t/>
        </is>
      </c>
      <c r="Z142" s="164" t="inlineStr">
        <is>
          <t/>
        </is>
      </c>
      <c r="AA142" s="165" t="inlineStr">
        <is>
          <t/>
        </is>
      </c>
      <c r="AB142" s="166" t="inlineStr">
        <is>
          <t/>
        </is>
      </c>
      <c r="AC142" s="167" t="inlineStr">
        <is>
          <t/>
        </is>
      </c>
      <c r="AD142" s="168" t="inlineStr">
        <is>
          <t/>
        </is>
      </c>
      <c r="AE142" s="169" t="inlineStr">
        <is>
          <t>117343-54P</t>
        </is>
      </c>
      <c r="AF142" s="170" t="inlineStr">
        <is>
          <t>Andrew Needham</t>
        </is>
      </c>
      <c r="AG142" s="171" t="inlineStr">
        <is>
          <t>Founder &amp; Chief Executive Officer</t>
        </is>
      </c>
      <c r="AH142" s="172" t="inlineStr">
        <is>
          <t>andrew.needham@headbox.com</t>
        </is>
      </c>
      <c r="AI142" s="173" t="inlineStr">
        <is>
          <t/>
        </is>
      </c>
      <c r="AJ142" s="174" t="inlineStr">
        <is>
          <t>London, United Kingdom</t>
        </is>
      </c>
      <c r="AK142" s="175" t="inlineStr">
        <is>
          <t>25 Holywell Row</t>
        </is>
      </c>
      <c r="AL142" s="176" t="inlineStr">
        <is>
          <t/>
        </is>
      </c>
      <c r="AM142" s="177" t="inlineStr">
        <is>
          <t>London</t>
        </is>
      </c>
      <c r="AN142" s="178" t="inlineStr">
        <is>
          <t>England</t>
        </is>
      </c>
      <c r="AO142" s="179" t="inlineStr">
        <is>
          <t>EC2A 4XE</t>
        </is>
      </c>
      <c r="AP142" s="180" t="inlineStr">
        <is>
          <t>United Kingdom</t>
        </is>
      </c>
      <c r="AQ142" s="181" t="inlineStr">
        <is>
          <t/>
        </is>
      </c>
      <c r="AR142" s="182" t="inlineStr">
        <is>
          <t/>
        </is>
      </c>
      <c r="AS142" s="183" t="inlineStr">
        <is>
          <t>info@headbox.com</t>
        </is>
      </c>
      <c r="AT142" s="184" t="inlineStr">
        <is>
          <t>Europe</t>
        </is>
      </c>
      <c r="AU142" s="185" t="inlineStr">
        <is>
          <t>Western Europe</t>
        </is>
      </c>
      <c r="AV142" s="186" t="inlineStr">
        <is>
          <t>The company raised GBP 1.6 million of venture funding from lead investor EGORA Holding on October 23, 2017. The new funds will enable the company to drive its platform-first strategy of developing a range of software based tools and services alongside its market place for its 10,000 corporate guest and host venue customers as well as to speed-up its international roll-out. Previously, the company raised GBP 1.4 million of seed funding from 12 individual angel investors on February 9, 2017.</t>
        </is>
      </c>
      <c r="AW142" s="187" t="inlineStr">
        <is>
          <t>Aaron Simpson, Anand Verma, Andy Cosslett, Brian Williamson, EGORA Holding, Jeremy Thompson, Johan Svanstrom, Martin McCourt, Matt Isaacs, Ralph Kugler, Sean Percival, Wild Blue Cohort</t>
        </is>
      </c>
      <c r="AX142" s="188" t="n">
        <v>12.0</v>
      </c>
      <c r="AY142" s="189" t="inlineStr">
        <is>
          <t/>
        </is>
      </c>
      <c r="AZ142" s="190" t="inlineStr">
        <is>
          <t/>
        </is>
      </c>
      <c r="BA142" s="191" t="inlineStr">
        <is>
          <t/>
        </is>
      </c>
      <c r="BB142" s="192" t="inlineStr">
        <is>
          <t>EGORA Holding (www.egora-holding.de), Sean Percival (www.seanpercival.com), Wild Blue Cohort (wildbluekc.com)</t>
        </is>
      </c>
      <c r="BC142" s="193" t="inlineStr">
        <is>
          <t/>
        </is>
      </c>
      <c r="BD142" s="194" t="inlineStr">
        <is>
          <t/>
        </is>
      </c>
      <c r="BE142" s="195" t="inlineStr">
        <is>
          <t/>
        </is>
      </c>
      <c r="BF142" s="196" t="inlineStr">
        <is>
          <t/>
        </is>
      </c>
      <c r="BG142" s="197" t="n">
        <v>42775.0</v>
      </c>
      <c r="BH142" s="198" t="n">
        <v>1.64</v>
      </c>
      <c r="BI142" s="199" t="inlineStr">
        <is>
          <t>Actual</t>
        </is>
      </c>
      <c r="BJ142" s="200" t="inlineStr">
        <is>
          <t/>
        </is>
      </c>
      <c r="BK142" s="201" t="inlineStr">
        <is>
          <t/>
        </is>
      </c>
      <c r="BL142" s="202" t="inlineStr">
        <is>
          <t>Seed Round</t>
        </is>
      </c>
      <c r="BM142" s="203" t="inlineStr">
        <is>
          <t>Seed</t>
        </is>
      </c>
      <c r="BN142" s="204" t="inlineStr">
        <is>
          <t/>
        </is>
      </c>
      <c r="BO142" s="205" t="inlineStr">
        <is>
          <t>Individual</t>
        </is>
      </c>
      <c r="BP142" s="206" t="inlineStr">
        <is>
          <t/>
        </is>
      </c>
      <c r="BQ142" s="207" t="inlineStr">
        <is>
          <t/>
        </is>
      </c>
      <c r="BR142" s="208" t="inlineStr">
        <is>
          <t/>
        </is>
      </c>
      <c r="BS142" s="209" t="inlineStr">
        <is>
          <t>Completed</t>
        </is>
      </c>
      <c r="BT142" s="210" t="n">
        <v>43031.0</v>
      </c>
      <c r="BU142" s="211" t="n">
        <v>1.8</v>
      </c>
      <c r="BV142" s="212" t="inlineStr">
        <is>
          <t>Actual</t>
        </is>
      </c>
      <c r="BW142" s="213" t="inlineStr">
        <is>
          <t/>
        </is>
      </c>
      <c r="BX142" s="214" t="inlineStr">
        <is>
          <t/>
        </is>
      </c>
      <c r="BY142" s="215" t="inlineStr">
        <is>
          <t>Early Stage VC</t>
        </is>
      </c>
      <c r="BZ142" s="216" t="inlineStr">
        <is>
          <t/>
        </is>
      </c>
      <c r="CA142" s="217" t="inlineStr">
        <is>
          <t/>
        </is>
      </c>
      <c r="CB142" s="218" t="inlineStr">
        <is>
          <t>Venture Capital</t>
        </is>
      </c>
      <c r="CC142" s="219" t="inlineStr">
        <is>
          <t/>
        </is>
      </c>
      <c r="CD142" s="220" t="inlineStr">
        <is>
          <t/>
        </is>
      </c>
      <c r="CE142" s="221" t="inlineStr">
        <is>
          <t/>
        </is>
      </c>
      <c r="CF142" s="222" t="inlineStr">
        <is>
          <t>Completed</t>
        </is>
      </c>
      <c r="CG142" s="223" t="inlineStr">
        <is>
          <t>-2,53%</t>
        </is>
      </c>
      <c r="CH142" s="224" t="inlineStr">
        <is>
          <t>8</t>
        </is>
      </c>
      <c r="CI142" s="225" t="inlineStr">
        <is>
          <t>-0,31%</t>
        </is>
      </c>
      <c r="CJ142" s="226" t="inlineStr">
        <is>
          <t>-13,89%</t>
        </is>
      </c>
      <c r="CK142" s="227" t="inlineStr">
        <is>
          <t>-5,67%</t>
        </is>
      </c>
      <c r="CL142" s="228" t="inlineStr">
        <is>
          <t>7</t>
        </is>
      </c>
      <c r="CM142" s="229" t="inlineStr">
        <is>
          <t>0,60%</t>
        </is>
      </c>
      <c r="CN142" s="230" t="inlineStr">
        <is>
          <t>91</t>
        </is>
      </c>
      <c r="CO142" s="231" t="inlineStr">
        <is>
          <t>-16,17%</t>
        </is>
      </c>
      <c r="CP142" s="232" t="inlineStr">
        <is>
          <t>7</t>
        </is>
      </c>
      <c r="CQ142" s="233" t="inlineStr">
        <is>
          <t>4,82%</t>
        </is>
      </c>
      <c r="CR142" s="234" t="inlineStr">
        <is>
          <t>98</t>
        </is>
      </c>
      <c r="CS142" s="235" t="inlineStr">
        <is>
          <t>0,94%</t>
        </is>
      </c>
      <c r="CT142" s="236" t="inlineStr">
        <is>
          <t>94</t>
        </is>
      </c>
      <c r="CU142" s="237" t="inlineStr">
        <is>
          <t>0,26%</t>
        </is>
      </c>
      <c r="CV142" s="238" t="inlineStr">
        <is>
          <t>81</t>
        </is>
      </c>
      <c r="CW142" s="239" t="inlineStr">
        <is>
          <t>6,64x</t>
        </is>
      </c>
      <c r="CX142" s="240" t="inlineStr">
        <is>
          <t>83</t>
        </is>
      </c>
      <c r="CY142" s="241" t="inlineStr">
        <is>
          <t>0,11x</t>
        </is>
      </c>
      <c r="CZ142" s="242" t="inlineStr">
        <is>
          <t>1,68%</t>
        </is>
      </c>
      <c r="DA142" s="243" t="inlineStr">
        <is>
          <t>7,81x</t>
        </is>
      </c>
      <c r="DB142" s="244" t="inlineStr">
        <is>
          <t>87</t>
        </is>
      </c>
      <c r="DC142" s="245" t="inlineStr">
        <is>
          <t>5,47x</t>
        </is>
      </c>
      <c r="DD142" s="246" t="inlineStr">
        <is>
          <t>77</t>
        </is>
      </c>
      <c r="DE142" s="247" t="inlineStr">
        <is>
          <t>0,93x</t>
        </is>
      </c>
      <c r="DF142" s="248" t="inlineStr">
        <is>
          <t>49</t>
        </is>
      </c>
      <c r="DG142" s="249" t="inlineStr">
        <is>
          <t>14,69x</t>
        </is>
      </c>
      <c r="DH142" s="250" t="inlineStr">
        <is>
          <t>91</t>
        </is>
      </c>
      <c r="DI142" s="251" t="inlineStr">
        <is>
          <t>0,69x</t>
        </is>
      </c>
      <c r="DJ142" s="252" t="inlineStr">
        <is>
          <t>44</t>
        </is>
      </c>
      <c r="DK142" s="253" t="inlineStr">
        <is>
          <t>10,25x</t>
        </is>
      </c>
      <c r="DL142" s="254" t="inlineStr">
        <is>
          <t>87</t>
        </is>
      </c>
      <c r="DM142" s="255" t="inlineStr">
        <is>
          <t>339</t>
        </is>
      </c>
      <c r="DN142" s="256" t="inlineStr">
        <is>
          <t>27</t>
        </is>
      </c>
      <c r="DO142" s="257" t="inlineStr">
        <is>
          <t>8,65%</t>
        </is>
      </c>
      <c r="DP142" s="258" t="inlineStr">
        <is>
          <t>543</t>
        </is>
      </c>
      <c r="DQ142" s="259" t="inlineStr">
        <is>
          <t>1</t>
        </is>
      </c>
      <c r="DR142" s="260" t="inlineStr">
        <is>
          <t>0,18%</t>
        </is>
      </c>
      <c r="DS142" s="261" t="inlineStr">
        <is>
          <t>520</t>
        </is>
      </c>
      <c r="DT142" s="262" t="inlineStr">
        <is>
          <t>19</t>
        </is>
      </c>
      <c r="DU142" s="263" t="inlineStr">
        <is>
          <t>3,79%</t>
        </is>
      </c>
      <c r="DV142" s="264" t="inlineStr">
        <is>
          <t>3.830</t>
        </is>
      </c>
      <c r="DW142" s="265" t="inlineStr">
        <is>
          <t>18</t>
        </is>
      </c>
      <c r="DX142" s="266" t="inlineStr">
        <is>
          <t>0,47%</t>
        </is>
      </c>
      <c r="DY142" s="267" t="inlineStr">
        <is>
          <t>PitchBook Research</t>
        </is>
      </c>
      <c r="DZ142" s="786">
        <f>HYPERLINK("https://my.pitchbook.com?c=101619-64", "View company online")</f>
      </c>
    </row>
    <row r="143">
      <c r="A143" s="9" t="inlineStr">
        <is>
          <t>221944-60</t>
        </is>
      </c>
      <c r="B143" s="10" t="inlineStr">
        <is>
          <t>InsideBoard</t>
        </is>
      </c>
      <c r="C143" s="11" t="inlineStr">
        <is>
          <t/>
        </is>
      </c>
      <c r="D143" s="12" t="inlineStr">
        <is>
          <t/>
        </is>
      </c>
      <c r="E143" s="13" t="inlineStr">
        <is>
          <t>221944-60</t>
        </is>
      </c>
      <c r="F143" s="14" t="inlineStr">
        <is>
          <t>Provider of a SaaS platform intended to engage various agents like end users, ambassadors, managers and top management in a single platform. The company's online platform helps employees of a company to earn points, badges through various challenge, enabling its clients to improve performance of their team through various projects within a single platform.</t>
        </is>
      </c>
      <c r="G143" s="15" t="inlineStr">
        <is>
          <t>Information Technology</t>
        </is>
      </c>
      <c r="H143" s="16" t="inlineStr">
        <is>
          <t>Software</t>
        </is>
      </c>
      <c r="I143" s="17" t="inlineStr">
        <is>
          <t>Application Software</t>
        </is>
      </c>
      <c r="J143" s="18" t="inlineStr">
        <is>
          <t>Application Software*; Human Capital Services; Social/Platform Software</t>
        </is>
      </c>
      <c r="K143" s="19" t="inlineStr">
        <is>
          <t>Artificial Intelligence &amp; Machine Learning, Big Data, SaaS</t>
        </is>
      </c>
      <c r="L143" s="20" t="inlineStr">
        <is>
          <t>Venture Capital-Backed</t>
        </is>
      </c>
      <c r="M143" s="21" t="n">
        <v>3.5</v>
      </c>
      <c r="N143" s="22" t="inlineStr">
        <is>
          <t>Generating Revenue</t>
        </is>
      </c>
      <c r="O143" s="23" t="inlineStr">
        <is>
          <t>Privately Held (backing)</t>
        </is>
      </c>
      <c r="P143" s="24" t="inlineStr">
        <is>
          <t>Venture Capital</t>
        </is>
      </c>
      <c r="Q143" s="25" t="inlineStr">
        <is>
          <t>www.insideboard.com</t>
        </is>
      </c>
      <c r="R143" s="26" t="n">
        <v>70.0</v>
      </c>
      <c r="S143" s="27" t="inlineStr">
        <is>
          <t/>
        </is>
      </c>
      <c r="T143" s="28" t="inlineStr">
        <is>
          <t/>
        </is>
      </c>
      <c r="U143" s="29" t="n">
        <v>2014.0</v>
      </c>
      <c r="V143" s="30" t="inlineStr">
        <is>
          <t/>
        </is>
      </c>
      <c r="W143" s="31" t="inlineStr">
        <is>
          <t/>
        </is>
      </c>
      <c r="X143" s="32" t="inlineStr">
        <is>
          <t/>
        </is>
      </c>
      <c r="Y143" s="33" t="inlineStr">
        <is>
          <t/>
        </is>
      </c>
      <c r="Z143" s="34" t="inlineStr">
        <is>
          <t/>
        </is>
      </c>
      <c r="AA143" s="35" t="inlineStr">
        <is>
          <t/>
        </is>
      </c>
      <c r="AB143" s="36" t="inlineStr">
        <is>
          <t/>
        </is>
      </c>
      <c r="AC143" s="37" t="inlineStr">
        <is>
          <t/>
        </is>
      </c>
      <c r="AD143" s="38" t="inlineStr">
        <is>
          <t/>
        </is>
      </c>
      <c r="AE143" s="39" t="inlineStr">
        <is>
          <t>173764-00P</t>
        </is>
      </c>
      <c r="AF143" s="40" t="inlineStr">
        <is>
          <t>Michäel Bentolila</t>
        </is>
      </c>
      <c r="AG143" s="41" t="inlineStr">
        <is>
          <t>Chief Executive Officer &amp; Co-Founder</t>
        </is>
      </c>
      <c r="AH143" s="42" t="inlineStr">
        <is>
          <t>michael@insideboard.com</t>
        </is>
      </c>
      <c r="AI143" s="43" t="inlineStr">
        <is>
          <t>+33 (0)1 40 88 11 90</t>
        </is>
      </c>
      <c r="AJ143" s="44" t="inlineStr">
        <is>
          <t>Paris, France</t>
        </is>
      </c>
      <c r="AK143" s="45" t="inlineStr">
        <is>
          <t>171 bis, avenue Charles de Gaulle</t>
        </is>
      </c>
      <c r="AL143" s="46" t="inlineStr">
        <is>
          <t>Neuilly-Sur-Seine</t>
        </is>
      </c>
      <c r="AM143" s="47" t="inlineStr">
        <is>
          <t>Paris</t>
        </is>
      </c>
      <c r="AN143" s="48" t="inlineStr">
        <is>
          <t/>
        </is>
      </c>
      <c r="AO143" s="49" t="inlineStr">
        <is>
          <t>92200</t>
        </is>
      </c>
      <c r="AP143" s="50" t="inlineStr">
        <is>
          <t>France</t>
        </is>
      </c>
      <c r="AQ143" s="51" t="inlineStr">
        <is>
          <t>+33 (0)1 40 88 11 90</t>
        </is>
      </c>
      <c r="AR143" s="52" t="inlineStr">
        <is>
          <t/>
        </is>
      </c>
      <c r="AS143" s="53" t="inlineStr">
        <is>
          <t>paris@insideboard.com</t>
        </is>
      </c>
      <c r="AT143" s="54" t="inlineStr">
        <is>
          <t>Europe</t>
        </is>
      </c>
      <c r="AU143" s="55" t="inlineStr">
        <is>
          <t>Western Europe</t>
        </is>
      </c>
      <c r="AV143" s="56" t="inlineStr">
        <is>
          <t>The company raised EUR 3.5 million of venture funding from Entrepreneur Venture, Bpifrance and Banque Populaire through a combination of debt and equity on November 2, 2017. The funding will allow the company to accelerate its research and development and the industrialization of its solution.</t>
        </is>
      </c>
      <c r="AW143" s="57" t="inlineStr">
        <is>
          <t>Banque Populaire, Bpifrance, Entrepreneur Venture</t>
        </is>
      </c>
      <c r="AX143" s="58" t="n">
        <v>3.0</v>
      </c>
      <c r="AY143" s="59" t="inlineStr">
        <is>
          <t/>
        </is>
      </c>
      <c r="AZ143" s="60" t="inlineStr">
        <is>
          <t/>
        </is>
      </c>
      <c r="BA143" s="61" t="inlineStr">
        <is>
          <t/>
        </is>
      </c>
      <c r="BB143" s="62" t="inlineStr">
        <is>
          <t>Banque Populaire (www.banquepopulaire.fr), Bpifrance (www.bpifrance.fr), Entrepreneur Venture (www.entrepreneurventure.com)</t>
        </is>
      </c>
      <c r="BC143" s="63" t="inlineStr">
        <is>
          <t/>
        </is>
      </c>
      <c r="BD143" s="64" t="inlineStr">
        <is>
          <t/>
        </is>
      </c>
      <c r="BE143" s="65" t="inlineStr">
        <is>
          <t/>
        </is>
      </c>
      <c r="BF143" s="66" t="inlineStr">
        <is>
          <t>Acetis Finance (Advisor: General), Bpifrance (Debt Financing), Lerins &amp; BCW (Legal Advisor), Banque Populaire (Debt Financing)</t>
        </is>
      </c>
      <c r="BG143" s="67" t="n">
        <v>43041.0</v>
      </c>
      <c r="BH143" s="68" t="n">
        <v>3.5</v>
      </c>
      <c r="BI143" s="69" t="inlineStr">
        <is>
          <t>Actual</t>
        </is>
      </c>
      <c r="BJ143" s="70" t="inlineStr">
        <is>
          <t/>
        </is>
      </c>
      <c r="BK143" s="71" t="inlineStr">
        <is>
          <t/>
        </is>
      </c>
      <c r="BL143" s="72" t="inlineStr">
        <is>
          <t>Early Stage VC</t>
        </is>
      </c>
      <c r="BM143" s="73" t="inlineStr">
        <is>
          <t/>
        </is>
      </c>
      <c r="BN143" s="74" t="inlineStr">
        <is>
          <t/>
        </is>
      </c>
      <c r="BO143" s="75" t="inlineStr">
        <is>
          <t>Venture Capital</t>
        </is>
      </c>
      <c r="BP143" s="76" t="inlineStr">
        <is>
          <t>Loan</t>
        </is>
      </c>
      <c r="BQ143" s="77" t="inlineStr">
        <is>
          <t/>
        </is>
      </c>
      <c r="BR143" s="78" t="inlineStr">
        <is>
          <t/>
        </is>
      </c>
      <c r="BS143" s="79" t="inlineStr">
        <is>
          <t>Completed</t>
        </is>
      </c>
      <c r="BT143" s="80" t="n">
        <v>43041.0</v>
      </c>
      <c r="BU143" s="81" t="n">
        <v>3.5</v>
      </c>
      <c r="BV143" s="82" t="inlineStr">
        <is>
          <t>Actual</t>
        </is>
      </c>
      <c r="BW143" s="83" t="inlineStr">
        <is>
          <t/>
        </is>
      </c>
      <c r="BX143" s="84" t="inlineStr">
        <is>
          <t/>
        </is>
      </c>
      <c r="BY143" s="85" t="inlineStr">
        <is>
          <t>Early Stage VC</t>
        </is>
      </c>
      <c r="BZ143" s="86" t="inlineStr">
        <is>
          <t/>
        </is>
      </c>
      <c r="CA143" s="87" t="inlineStr">
        <is>
          <t/>
        </is>
      </c>
      <c r="CB143" s="88" t="inlineStr">
        <is>
          <t>Venture Capital</t>
        </is>
      </c>
      <c r="CC143" s="89" t="inlineStr">
        <is>
          <t>Loan</t>
        </is>
      </c>
      <c r="CD143" s="90" t="inlineStr">
        <is>
          <t/>
        </is>
      </c>
      <c r="CE143" s="91" t="inlineStr">
        <is>
          <t/>
        </is>
      </c>
      <c r="CF143" s="92" t="inlineStr">
        <is>
          <t>Completed</t>
        </is>
      </c>
      <c r="CG143" s="93" t="inlineStr">
        <is>
          <t/>
        </is>
      </c>
      <c r="CH143" s="94" t="inlineStr">
        <is>
          <t/>
        </is>
      </c>
      <c r="CI143" s="95" t="inlineStr">
        <is>
          <t/>
        </is>
      </c>
      <c r="CJ143" s="96" t="inlineStr">
        <is>
          <t/>
        </is>
      </c>
      <c r="CK143" s="97" t="inlineStr">
        <is>
          <t/>
        </is>
      </c>
      <c r="CL143" s="98" t="inlineStr">
        <is>
          <t/>
        </is>
      </c>
      <c r="CM143" s="99" t="inlineStr">
        <is>
          <t/>
        </is>
      </c>
      <c r="CN143" s="100" t="inlineStr">
        <is>
          <t/>
        </is>
      </c>
      <c r="CO143" s="101" t="inlineStr">
        <is>
          <t/>
        </is>
      </c>
      <c r="CP143" s="102" t="inlineStr">
        <is>
          <t/>
        </is>
      </c>
      <c r="CQ143" s="103" t="inlineStr">
        <is>
          <t/>
        </is>
      </c>
      <c r="CR143" s="104" t="inlineStr">
        <is>
          <t/>
        </is>
      </c>
      <c r="CS143" s="105" t="inlineStr">
        <is>
          <t/>
        </is>
      </c>
      <c r="CT143" s="106" t="inlineStr">
        <is>
          <t/>
        </is>
      </c>
      <c r="CU143" s="107" t="inlineStr">
        <is>
          <t/>
        </is>
      </c>
      <c r="CV143" s="108" t="inlineStr">
        <is>
          <t/>
        </is>
      </c>
      <c r="CW143" s="109" t="inlineStr">
        <is>
          <t/>
        </is>
      </c>
      <c r="CX143" s="110" t="inlineStr">
        <is>
          <t/>
        </is>
      </c>
      <c r="CY143" s="111" t="inlineStr">
        <is>
          <t/>
        </is>
      </c>
      <c r="CZ143" s="112" t="inlineStr">
        <is>
          <t/>
        </is>
      </c>
      <c r="DA143" s="113" t="inlineStr">
        <is>
          <t/>
        </is>
      </c>
      <c r="DB143" s="114" t="inlineStr">
        <is>
          <t/>
        </is>
      </c>
      <c r="DC143" s="115" t="inlineStr">
        <is>
          <t/>
        </is>
      </c>
      <c r="DD143" s="116" t="inlineStr">
        <is>
          <t/>
        </is>
      </c>
      <c r="DE143" s="117" t="inlineStr">
        <is>
          <t/>
        </is>
      </c>
      <c r="DF143" s="118" t="inlineStr">
        <is>
          <t/>
        </is>
      </c>
      <c r="DG143" s="119" t="inlineStr">
        <is>
          <t/>
        </is>
      </c>
      <c r="DH143" s="120" t="inlineStr">
        <is>
          <t/>
        </is>
      </c>
      <c r="DI143" s="121" t="inlineStr">
        <is>
          <t/>
        </is>
      </c>
      <c r="DJ143" s="122" t="inlineStr">
        <is>
          <t/>
        </is>
      </c>
      <c r="DK143" s="123" t="inlineStr">
        <is>
          <t/>
        </is>
      </c>
      <c r="DL143" s="124" t="inlineStr">
        <is>
          <t/>
        </is>
      </c>
      <c r="DM143" s="125" t="inlineStr">
        <is>
          <t/>
        </is>
      </c>
      <c r="DN143" s="126" t="inlineStr">
        <is>
          <t/>
        </is>
      </c>
      <c r="DO143" s="127" t="inlineStr">
        <is>
          <t/>
        </is>
      </c>
      <c r="DP143" s="128" t="inlineStr">
        <is>
          <t/>
        </is>
      </c>
      <c r="DQ143" s="129" t="inlineStr">
        <is>
          <t/>
        </is>
      </c>
      <c r="DR143" s="130" t="inlineStr">
        <is>
          <t/>
        </is>
      </c>
      <c r="DS143" s="131" t="inlineStr">
        <is>
          <t/>
        </is>
      </c>
      <c r="DT143" s="132" t="inlineStr">
        <is>
          <t/>
        </is>
      </c>
      <c r="DU143" s="133" t="inlineStr">
        <is>
          <t/>
        </is>
      </c>
      <c r="DV143" s="134" t="inlineStr">
        <is>
          <t/>
        </is>
      </c>
      <c r="DW143" s="135" t="inlineStr">
        <is>
          <t/>
        </is>
      </c>
      <c r="DX143" s="136" t="inlineStr">
        <is>
          <t/>
        </is>
      </c>
      <c r="DY143" s="137" t="inlineStr">
        <is>
          <t>PitchBook Research</t>
        </is>
      </c>
      <c r="DZ143" s="785">
        <f>HYPERLINK("https://my.pitchbook.com?c=221944-60", "View company online")</f>
      </c>
    </row>
    <row r="144">
      <c r="A144" s="139" t="inlineStr">
        <is>
          <t>102388-51</t>
        </is>
      </c>
      <c r="B144" s="140" t="inlineStr">
        <is>
          <t>Supermetrics</t>
        </is>
      </c>
      <c r="C144" s="141" t="inlineStr">
        <is>
          <t/>
        </is>
      </c>
      <c r="D144" s="142" t="inlineStr">
        <is>
          <t/>
        </is>
      </c>
      <c r="E144" s="143" t="inlineStr">
        <is>
          <t>102388-51</t>
        </is>
      </c>
      <c r="F144" s="144" t="inlineStr">
        <is>
          <t>Provider of marketing analytical services intended to provide marketers with access to all their marketing data on various platforms. The company's marketing analytical services simplifies the process of data analysis by the collection and transfer of online marketing data to any platform marketers choose, enabling its clients to receive marketing based reporting services computed from various data sets through a single platform.</t>
        </is>
      </c>
      <c r="G144" s="145" t="inlineStr">
        <is>
          <t>Information Technology</t>
        </is>
      </c>
      <c r="H144" s="146" t="inlineStr">
        <is>
          <t>Software</t>
        </is>
      </c>
      <c r="I144" s="147" t="inlineStr">
        <is>
          <t>Application Software</t>
        </is>
      </c>
      <c r="J144" s="148" t="inlineStr">
        <is>
          <t>Application Software*; Database Software; Business/Productivity Software</t>
        </is>
      </c>
      <c r="K144" s="149" t="inlineStr">
        <is>
          <t>Big Data</t>
        </is>
      </c>
      <c r="L144" s="150" t="inlineStr">
        <is>
          <t>Venture Capital-Backed</t>
        </is>
      </c>
      <c r="M144" s="151" t="n">
        <v>3.5</v>
      </c>
      <c r="N144" s="152" t="inlineStr">
        <is>
          <t>Profitable</t>
        </is>
      </c>
      <c r="O144" s="153" t="inlineStr">
        <is>
          <t>Privately Held (backing)</t>
        </is>
      </c>
      <c r="P144" s="154" t="inlineStr">
        <is>
          <t>Venture Capital</t>
        </is>
      </c>
      <c r="Q144" s="155" t="inlineStr">
        <is>
          <t>www.supermetrics.com</t>
        </is>
      </c>
      <c r="R144" s="156" t="inlineStr">
        <is>
          <t/>
        </is>
      </c>
      <c r="S144" s="157" t="inlineStr">
        <is>
          <t/>
        </is>
      </c>
      <c r="T144" s="158" t="inlineStr">
        <is>
          <t/>
        </is>
      </c>
      <c r="U144" s="159" t="n">
        <v>2013.0</v>
      </c>
      <c r="V144" s="160" t="inlineStr">
        <is>
          <t/>
        </is>
      </c>
      <c r="W144" s="161" t="inlineStr">
        <is>
          <t/>
        </is>
      </c>
      <c r="X144" s="162" t="inlineStr">
        <is>
          <r>
            <rPr>
              <b/>
              <color rgb="ff26854d"/>
              <rFont val="Arial"/>
              <sz val="8.0"/>
            </rPr>
            <t>New Company</t>
          </r>
        </is>
      </c>
      <c r="Y144" s="163" t="n">
        <v>1.679</v>
      </c>
      <c r="Z144" s="164" t="inlineStr">
        <is>
          <t/>
        </is>
      </c>
      <c r="AA144" s="165" t="inlineStr">
        <is>
          <t/>
        </is>
      </c>
      <c r="AB144" s="166" t="inlineStr">
        <is>
          <t/>
        </is>
      </c>
      <c r="AC144" s="167" t="inlineStr">
        <is>
          <t/>
        </is>
      </c>
      <c r="AD144" s="168" t="inlineStr">
        <is>
          <t>FY 2016</t>
        </is>
      </c>
      <c r="AE144" s="169" t="inlineStr">
        <is>
          <t>167131-99P</t>
        </is>
      </c>
      <c r="AF144" s="170" t="inlineStr">
        <is>
          <t>Mikael Thuneberg</t>
        </is>
      </c>
      <c r="AG144" s="171" t="inlineStr">
        <is>
          <t>Founder &amp; Chief Executive Officer</t>
        </is>
      </c>
      <c r="AH144" s="172" t="inlineStr">
        <is>
          <t>mikael.thuneberg@supermetrics.com</t>
        </is>
      </c>
      <c r="AI144" s="173" t="inlineStr">
        <is>
          <t/>
        </is>
      </c>
      <c r="AJ144" s="174" t="inlineStr">
        <is>
          <t>Helsinki, Finland</t>
        </is>
      </c>
      <c r="AK144" s="175" t="inlineStr">
        <is>
          <t>Mikonkatu 7</t>
        </is>
      </c>
      <c r="AL144" s="176" t="inlineStr">
        <is>
          <t/>
        </is>
      </c>
      <c r="AM144" s="177" t="inlineStr">
        <is>
          <t>Helsinki</t>
        </is>
      </c>
      <c r="AN144" s="178" t="inlineStr">
        <is>
          <t/>
        </is>
      </c>
      <c r="AO144" s="179" t="inlineStr">
        <is>
          <t>00100</t>
        </is>
      </c>
      <c r="AP144" s="180" t="inlineStr">
        <is>
          <t>Finland</t>
        </is>
      </c>
      <c r="AQ144" s="181" t="inlineStr">
        <is>
          <t/>
        </is>
      </c>
      <c r="AR144" s="182" t="inlineStr">
        <is>
          <t/>
        </is>
      </c>
      <c r="AS144" s="183" t="inlineStr">
        <is>
          <t>info@supermetrics.com</t>
        </is>
      </c>
      <c r="AT144" s="184" t="inlineStr">
        <is>
          <t>Europe</t>
        </is>
      </c>
      <c r="AU144" s="185" t="inlineStr">
        <is>
          <t>Northern Europe</t>
        </is>
      </c>
      <c r="AV144" s="186" t="inlineStr">
        <is>
          <t>The company raised EUR 3.5 million of Series A venture funding in a deal led by Open Ocean Partners on November 23, 2017. Other undisclosed investors also participated in this round. The funding will help the company to invest in expansion of their core product, develop new products and further grow their customer base.</t>
        </is>
      </c>
      <c r="AW144" s="187" t="inlineStr">
        <is>
          <t>Open Ocean Partners</t>
        </is>
      </c>
      <c r="AX144" s="188" t="n">
        <v>1.0</v>
      </c>
      <c r="AY144" s="189" t="inlineStr">
        <is>
          <t/>
        </is>
      </c>
      <c r="AZ144" s="190" t="inlineStr">
        <is>
          <t/>
        </is>
      </c>
      <c r="BA144" s="191" t="inlineStr">
        <is>
          <t/>
        </is>
      </c>
      <c r="BB144" s="192" t="inlineStr">
        <is>
          <t>Open Ocean Partners (www.openocean.vc)</t>
        </is>
      </c>
      <c r="BC144" s="193" t="inlineStr">
        <is>
          <t/>
        </is>
      </c>
      <c r="BD144" s="194" t="inlineStr">
        <is>
          <t/>
        </is>
      </c>
      <c r="BE144" s="195" t="inlineStr">
        <is>
          <t/>
        </is>
      </c>
      <c r="BF144" s="196" t="inlineStr">
        <is>
          <t/>
        </is>
      </c>
      <c r="BG144" s="197" t="n">
        <v>43062.0</v>
      </c>
      <c r="BH144" s="198" t="n">
        <v>3.5</v>
      </c>
      <c r="BI144" s="199" t="inlineStr">
        <is>
          <t>Actual</t>
        </is>
      </c>
      <c r="BJ144" s="200" t="inlineStr">
        <is>
          <t/>
        </is>
      </c>
      <c r="BK144" s="201" t="inlineStr">
        <is>
          <t/>
        </is>
      </c>
      <c r="BL144" s="202" t="inlineStr">
        <is>
          <t>Early Stage VC</t>
        </is>
      </c>
      <c r="BM144" s="203" t="inlineStr">
        <is>
          <t>Series A</t>
        </is>
      </c>
      <c r="BN144" s="204" t="inlineStr">
        <is>
          <t/>
        </is>
      </c>
      <c r="BO144" s="205" t="inlineStr">
        <is>
          <t>Venture Capital</t>
        </is>
      </c>
      <c r="BP144" s="206" t="inlineStr">
        <is>
          <t/>
        </is>
      </c>
      <c r="BQ144" s="207" t="inlineStr">
        <is>
          <t/>
        </is>
      </c>
      <c r="BR144" s="208" t="inlineStr">
        <is>
          <t/>
        </is>
      </c>
      <c r="BS144" s="209" t="inlineStr">
        <is>
          <t>Completed</t>
        </is>
      </c>
      <c r="BT144" s="210" t="n">
        <v>43062.0</v>
      </c>
      <c r="BU144" s="211" t="n">
        <v>3.5</v>
      </c>
      <c r="BV144" s="212" t="inlineStr">
        <is>
          <t>Actual</t>
        </is>
      </c>
      <c r="BW144" s="213" t="inlineStr">
        <is>
          <t/>
        </is>
      </c>
      <c r="BX144" s="214" t="inlineStr">
        <is>
          <t/>
        </is>
      </c>
      <c r="BY144" s="215" t="inlineStr">
        <is>
          <t>Early Stage VC</t>
        </is>
      </c>
      <c r="BZ144" s="216" t="inlineStr">
        <is>
          <t>Series A</t>
        </is>
      </c>
      <c r="CA144" s="217" t="inlineStr">
        <is>
          <t/>
        </is>
      </c>
      <c r="CB144" s="218" t="inlineStr">
        <is>
          <t>Venture Capital</t>
        </is>
      </c>
      <c r="CC144" s="219" t="inlineStr">
        <is>
          <t/>
        </is>
      </c>
      <c r="CD144" s="220" t="inlineStr">
        <is>
          <t/>
        </is>
      </c>
      <c r="CE144" s="221" t="inlineStr">
        <is>
          <t/>
        </is>
      </c>
      <c r="CF144" s="222" t="inlineStr">
        <is>
          <t>Completed</t>
        </is>
      </c>
      <c r="CG144" s="223" t="inlineStr">
        <is>
          <t>-2,55%</t>
        </is>
      </c>
      <c r="CH144" s="224" t="inlineStr">
        <is>
          <t>8</t>
        </is>
      </c>
      <c r="CI144" s="225" t="inlineStr">
        <is>
          <t>0,00%</t>
        </is>
      </c>
      <c r="CJ144" s="226" t="inlineStr">
        <is>
          <t>-0,09%</t>
        </is>
      </c>
      <c r="CK144" s="227" t="inlineStr">
        <is>
          <t>-5,96%</t>
        </is>
      </c>
      <c r="CL144" s="228" t="inlineStr">
        <is>
          <t>7</t>
        </is>
      </c>
      <c r="CM144" s="229" t="inlineStr">
        <is>
          <t>0,87%</t>
        </is>
      </c>
      <c r="CN144" s="230" t="inlineStr">
        <is>
          <t>95</t>
        </is>
      </c>
      <c r="CO144" s="231" t="inlineStr">
        <is>
          <t>-11,93%</t>
        </is>
      </c>
      <c r="CP144" s="232" t="inlineStr">
        <is>
          <t>11</t>
        </is>
      </c>
      <c r="CQ144" s="233" t="inlineStr">
        <is>
          <t>0,00%</t>
        </is>
      </c>
      <c r="CR144" s="234" t="inlineStr">
        <is>
          <t>20</t>
        </is>
      </c>
      <c r="CS144" s="235" t="inlineStr">
        <is>
          <t/>
        </is>
      </c>
      <c r="CT144" s="236" t="inlineStr">
        <is>
          <t/>
        </is>
      </c>
      <c r="CU144" s="237" t="inlineStr">
        <is>
          <t>0,87%</t>
        </is>
      </c>
      <c r="CV144" s="238" t="inlineStr">
        <is>
          <t>96</t>
        </is>
      </c>
      <c r="CW144" s="239" t="inlineStr">
        <is>
          <t>12,50x</t>
        </is>
      </c>
      <c r="CX144" s="240" t="inlineStr">
        <is>
          <t>90</t>
        </is>
      </c>
      <c r="CY144" s="241" t="inlineStr">
        <is>
          <t>0,01x</t>
        </is>
      </c>
      <c r="CZ144" s="242" t="inlineStr">
        <is>
          <t>0,09%</t>
        </is>
      </c>
      <c r="DA144" s="243" t="inlineStr">
        <is>
          <t>16,56x</t>
        </is>
      </c>
      <c r="DB144" s="244" t="inlineStr">
        <is>
          <t>93</t>
        </is>
      </c>
      <c r="DC144" s="245" t="inlineStr">
        <is>
          <t>8,44x</t>
        </is>
      </c>
      <c r="DD144" s="246" t="inlineStr">
        <is>
          <t>82</t>
        </is>
      </c>
      <c r="DE144" s="247" t="inlineStr">
        <is>
          <t>31,31x</t>
        </is>
      </c>
      <c r="DF144" s="248" t="inlineStr">
        <is>
          <t>95</t>
        </is>
      </c>
      <c r="DG144" s="249" t="inlineStr">
        <is>
          <t>1,81x</t>
        </is>
      </c>
      <c r="DH144" s="250" t="inlineStr">
        <is>
          <t>63</t>
        </is>
      </c>
      <c r="DI144" s="251" t="inlineStr">
        <is>
          <t/>
        </is>
      </c>
      <c r="DJ144" s="252" t="inlineStr">
        <is>
          <t/>
        </is>
      </c>
      <c r="DK144" s="253" t="inlineStr">
        <is>
          <t>8,44x</t>
        </is>
      </c>
      <c r="DL144" s="254" t="inlineStr">
        <is>
          <t>85</t>
        </is>
      </c>
      <c r="DM144" s="255" t="inlineStr">
        <is>
          <t>11.593</t>
        </is>
      </c>
      <c r="DN144" s="256" t="inlineStr">
        <is>
          <t>120</t>
        </is>
      </c>
      <c r="DO144" s="257" t="inlineStr">
        <is>
          <t>1,05%</t>
        </is>
      </c>
      <c r="DP144" s="258" t="inlineStr">
        <is>
          <t/>
        </is>
      </c>
      <c r="DQ144" s="259" t="inlineStr">
        <is>
          <t/>
        </is>
      </c>
      <c r="DR144" s="260" t="inlineStr">
        <is>
          <t/>
        </is>
      </c>
      <c r="DS144" s="261" t="inlineStr">
        <is>
          <t>64</t>
        </is>
      </c>
      <c r="DT144" s="262" t="inlineStr">
        <is>
          <t>2</t>
        </is>
      </c>
      <c r="DU144" s="263" t="inlineStr">
        <is>
          <t>3,23%</t>
        </is>
      </c>
      <c r="DV144" s="264" t="inlineStr">
        <is>
          <t>3.140</t>
        </is>
      </c>
      <c r="DW144" s="265" t="inlineStr">
        <is>
          <t>31</t>
        </is>
      </c>
      <c r="DX144" s="266" t="inlineStr">
        <is>
          <t>1,00%</t>
        </is>
      </c>
      <c r="DY144" s="267" t="inlineStr">
        <is>
          <t>PitchBook Research</t>
        </is>
      </c>
      <c r="DZ144" s="786">
        <f>HYPERLINK("https://my.pitchbook.com?c=102388-51", "View company online")</f>
      </c>
    </row>
    <row r="145">
      <c r="A145" s="9" t="inlineStr">
        <is>
          <t>186378-40</t>
        </is>
      </c>
      <c r="B145" s="10" t="inlineStr">
        <is>
          <t>Feed.</t>
        </is>
      </c>
      <c r="C145" s="11" t="inlineStr">
        <is>
          <t/>
        </is>
      </c>
      <c r="D145" s="12" t="inlineStr">
        <is>
          <t/>
        </is>
      </c>
      <c r="E145" s="13" t="inlineStr">
        <is>
          <t>186378-40</t>
        </is>
      </c>
      <c r="F145" s="14" t="inlineStr">
        <is>
          <t>Developer and online seller of smart food created not to replace traditional food but rather to provide a fast, practical and healthy alternative for people who do not have the time to prepare a classic meal. The company's meals are designed and prepared by chefs, nutritionists and agri-food engineers, enabling customers to get complete, balanced, nutritional meals that are packaged into small, easily consumable forms such as drinks and bars.</t>
        </is>
      </c>
      <c r="G145" s="15" t="inlineStr">
        <is>
          <t>Consumer Products and Services (B2C)</t>
        </is>
      </c>
      <c r="H145" s="16" t="inlineStr">
        <is>
          <t>Consumer Non-Durables</t>
        </is>
      </c>
      <c r="I145" s="17" t="inlineStr">
        <is>
          <t>Food Products</t>
        </is>
      </c>
      <c r="J145" s="18" t="inlineStr">
        <is>
          <t>Food Products*; Beverages; Social/Platform Software</t>
        </is>
      </c>
      <c r="K145" s="19" t="inlineStr">
        <is>
          <t>E-Commerce, LOHAS &amp; Wellness</t>
        </is>
      </c>
      <c r="L145" s="20" t="inlineStr">
        <is>
          <t>Venture Capital-Backed</t>
        </is>
      </c>
      <c r="M145" s="21" t="n">
        <v>3.5</v>
      </c>
      <c r="N145" s="22" t="inlineStr">
        <is>
          <t>Generating Revenue</t>
        </is>
      </c>
      <c r="O145" s="23" t="inlineStr">
        <is>
          <t>Privately Held (backing)</t>
        </is>
      </c>
      <c r="P145" s="24" t="inlineStr">
        <is>
          <t>Venture Capital</t>
        </is>
      </c>
      <c r="Q145" s="25" t="inlineStr">
        <is>
          <t>www.feedsmartfood.com</t>
        </is>
      </c>
      <c r="R145" s="26" t="inlineStr">
        <is>
          <t/>
        </is>
      </c>
      <c r="S145" s="27" t="inlineStr">
        <is>
          <t/>
        </is>
      </c>
      <c r="T145" s="28" t="inlineStr">
        <is>
          <t/>
        </is>
      </c>
      <c r="U145" s="29" t="n">
        <v>2016.0</v>
      </c>
      <c r="V145" s="30" t="inlineStr">
        <is>
          <t/>
        </is>
      </c>
      <c r="W145" s="31" t="inlineStr">
        <is>
          <t/>
        </is>
      </c>
      <c r="X145" s="32" t="inlineStr">
        <is>
          <t/>
        </is>
      </c>
      <c r="Y145" s="33" t="inlineStr">
        <is>
          <t/>
        </is>
      </c>
      <c r="Z145" s="34" t="inlineStr">
        <is>
          <t/>
        </is>
      </c>
      <c r="AA145" s="35" t="inlineStr">
        <is>
          <t/>
        </is>
      </c>
      <c r="AB145" s="36" t="inlineStr">
        <is>
          <t/>
        </is>
      </c>
      <c r="AC145" s="37" t="inlineStr">
        <is>
          <t/>
        </is>
      </c>
      <c r="AD145" s="38" t="inlineStr">
        <is>
          <t/>
        </is>
      </c>
      <c r="AE145" s="39" t="inlineStr">
        <is>
          <t>170821-81P</t>
        </is>
      </c>
      <c r="AF145" s="40" t="inlineStr">
        <is>
          <t>Anthony Bourbon</t>
        </is>
      </c>
      <c r="AG145" s="41" t="inlineStr">
        <is>
          <t>Chief Executive Officer &amp; Founder</t>
        </is>
      </c>
      <c r="AH145" s="42" t="inlineStr">
        <is>
          <t/>
        </is>
      </c>
      <c r="AI145" s="43" t="inlineStr">
        <is>
          <t>+33 (0)7 55 20 55 50</t>
        </is>
      </c>
      <c r="AJ145" s="44" t="inlineStr">
        <is>
          <t>Paris, France</t>
        </is>
      </c>
      <c r="AK145" s="45" t="inlineStr">
        <is>
          <t>231 rue Saint Honoré</t>
        </is>
      </c>
      <c r="AL145" s="46" t="inlineStr">
        <is>
          <t/>
        </is>
      </c>
      <c r="AM145" s="47" t="inlineStr">
        <is>
          <t>Paris</t>
        </is>
      </c>
      <c r="AN145" s="48" t="inlineStr">
        <is>
          <t/>
        </is>
      </c>
      <c r="AO145" s="49" t="inlineStr">
        <is>
          <t>75001</t>
        </is>
      </c>
      <c r="AP145" s="50" t="inlineStr">
        <is>
          <t>France</t>
        </is>
      </c>
      <c r="AQ145" s="51" t="inlineStr">
        <is>
          <t>+33 (0)7 55 20 55 50</t>
        </is>
      </c>
      <c r="AR145" s="52" t="inlineStr">
        <is>
          <t/>
        </is>
      </c>
      <c r="AS145" s="53" t="inlineStr">
        <is>
          <t>hello@feedsmartfood.com</t>
        </is>
      </c>
      <c r="AT145" s="54" t="inlineStr">
        <is>
          <t>Europe</t>
        </is>
      </c>
      <c r="AU145" s="55" t="inlineStr">
        <is>
          <t>Western Europe</t>
        </is>
      </c>
      <c r="AV145" s="56" t="inlineStr">
        <is>
          <t>The company raised EUR 3 million of venture funding led by Otium on September 4, 2017. Senseii Ventures, Kima Ventures and several business angels including Hubert Patricot and Guillaume Gibault also participated in this round. The company will use this funding to hire around 20 new employees in the coming months to accelerate its development in Europe and to further invest in its R&amp;D in order to launch new products in the near future and to create new vegan, gluten-free, lactose-free, GM-free and nut-free products. The company previously raised EUR 500,000 of venture funding from Senseii Ventures on February 1, 2017.</t>
        </is>
      </c>
      <c r="AW145" s="57" t="inlineStr">
        <is>
          <t>Guillaume Gibault, Hubert Patricot, Kima Ventures, Otium, Senseii Ventures</t>
        </is>
      </c>
      <c r="AX145" s="58" t="n">
        <v>5.0</v>
      </c>
      <c r="AY145" s="59" t="inlineStr">
        <is>
          <t/>
        </is>
      </c>
      <c r="AZ145" s="60" t="inlineStr">
        <is>
          <t/>
        </is>
      </c>
      <c r="BA145" s="61" t="inlineStr">
        <is>
          <t/>
        </is>
      </c>
      <c r="BB145" s="62" t="inlineStr">
        <is>
          <t>Kima Ventures (www.kimaventures.com), Otium (www.otium.fr), Senseii Ventures (www.senseii-ventures.com)</t>
        </is>
      </c>
      <c r="BC145" s="63" t="inlineStr">
        <is>
          <t/>
        </is>
      </c>
      <c r="BD145" s="64" t="inlineStr">
        <is>
          <t/>
        </is>
      </c>
      <c r="BE145" s="65" t="inlineStr">
        <is>
          <t/>
        </is>
      </c>
      <c r="BF145" s="66" t="inlineStr">
        <is>
          <t>Ader Finance (Advisor: General), SB Avocats (Legal Advisor)</t>
        </is>
      </c>
      <c r="BG145" s="67" t="n">
        <v>42767.0</v>
      </c>
      <c r="BH145" s="68" t="n">
        <v>0.5</v>
      </c>
      <c r="BI145" s="69" t="inlineStr">
        <is>
          <t>Actual</t>
        </is>
      </c>
      <c r="BJ145" s="70" t="inlineStr">
        <is>
          <t/>
        </is>
      </c>
      <c r="BK145" s="71" t="inlineStr">
        <is>
          <t/>
        </is>
      </c>
      <c r="BL145" s="72" t="inlineStr">
        <is>
          <t>Early Stage VC</t>
        </is>
      </c>
      <c r="BM145" s="73" t="inlineStr">
        <is>
          <t/>
        </is>
      </c>
      <c r="BN145" s="74" t="inlineStr">
        <is>
          <t/>
        </is>
      </c>
      <c r="BO145" s="75" t="inlineStr">
        <is>
          <t>Venture Capital</t>
        </is>
      </c>
      <c r="BP145" s="76" t="inlineStr">
        <is>
          <t/>
        </is>
      </c>
      <c r="BQ145" s="77" t="inlineStr">
        <is>
          <t/>
        </is>
      </c>
      <c r="BR145" s="78" t="inlineStr">
        <is>
          <t/>
        </is>
      </c>
      <c r="BS145" s="79" t="inlineStr">
        <is>
          <t>Completed</t>
        </is>
      </c>
      <c r="BT145" s="80" t="n">
        <v>42982.0</v>
      </c>
      <c r="BU145" s="81" t="n">
        <v>3.0</v>
      </c>
      <c r="BV145" s="82" t="inlineStr">
        <is>
          <t>Actual</t>
        </is>
      </c>
      <c r="BW145" s="83" t="inlineStr">
        <is>
          <t/>
        </is>
      </c>
      <c r="BX145" s="84" t="inlineStr">
        <is>
          <t/>
        </is>
      </c>
      <c r="BY145" s="85" t="inlineStr">
        <is>
          <t>Early Stage VC</t>
        </is>
      </c>
      <c r="BZ145" s="86" t="inlineStr">
        <is>
          <t/>
        </is>
      </c>
      <c r="CA145" s="87" t="inlineStr">
        <is>
          <t/>
        </is>
      </c>
      <c r="CB145" s="88" t="inlineStr">
        <is>
          <t>Venture Capital</t>
        </is>
      </c>
      <c r="CC145" s="89" t="inlineStr">
        <is>
          <t/>
        </is>
      </c>
      <c r="CD145" s="90" t="inlineStr">
        <is>
          <t/>
        </is>
      </c>
      <c r="CE145" s="91" t="inlineStr">
        <is>
          <t/>
        </is>
      </c>
      <c r="CF145" s="92" t="inlineStr">
        <is>
          <t>Completed</t>
        </is>
      </c>
      <c r="CG145" s="93" t="inlineStr">
        <is>
          <t>2,28%</t>
        </is>
      </c>
      <c r="CH145" s="94" t="inlineStr">
        <is>
          <t>98</t>
        </is>
      </c>
      <c r="CI145" s="95" t="inlineStr">
        <is>
          <t>-0,63%</t>
        </is>
      </c>
      <c r="CJ145" s="96" t="inlineStr">
        <is>
          <t>-21,65%</t>
        </is>
      </c>
      <c r="CK145" s="97" t="inlineStr">
        <is>
          <t>1,32%</t>
        </is>
      </c>
      <c r="CL145" s="98" t="inlineStr">
        <is>
          <t>95</t>
        </is>
      </c>
      <c r="CM145" s="99" t="inlineStr">
        <is>
          <t>3,23%</t>
        </is>
      </c>
      <c r="CN145" s="100" t="inlineStr">
        <is>
          <t>100</t>
        </is>
      </c>
      <c r="CO145" s="101" t="inlineStr">
        <is>
          <t/>
        </is>
      </c>
      <c r="CP145" s="102" t="inlineStr">
        <is>
          <t/>
        </is>
      </c>
      <c r="CQ145" s="103" t="inlineStr">
        <is>
          <t>1,32%</t>
        </is>
      </c>
      <c r="CR145" s="104" t="inlineStr">
        <is>
          <t>94</t>
        </is>
      </c>
      <c r="CS145" s="105" t="inlineStr">
        <is>
          <t>5,68%</t>
        </is>
      </c>
      <c r="CT145" s="106" t="inlineStr">
        <is>
          <t>100</t>
        </is>
      </c>
      <c r="CU145" s="107" t="inlineStr">
        <is>
          <t>0,78%</t>
        </is>
      </c>
      <c r="CV145" s="108" t="inlineStr">
        <is>
          <t>95</t>
        </is>
      </c>
      <c r="CW145" s="109" t="inlineStr">
        <is>
          <t>26,48x</t>
        </is>
      </c>
      <c r="CX145" s="110" t="inlineStr">
        <is>
          <t>94</t>
        </is>
      </c>
      <c r="CY145" s="111" t="inlineStr">
        <is>
          <t>0,09x</t>
        </is>
      </c>
      <c r="CZ145" s="112" t="inlineStr">
        <is>
          <t>0,33%</t>
        </is>
      </c>
      <c r="DA145" s="113" t="inlineStr">
        <is>
          <t>3,17x</t>
        </is>
      </c>
      <c r="DB145" s="114" t="inlineStr">
        <is>
          <t>75</t>
        </is>
      </c>
      <c r="DC145" s="115" t="inlineStr">
        <is>
          <t>49,80x</t>
        </is>
      </c>
      <c r="DD145" s="116" t="inlineStr">
        <is>
          <t>94</t>
        </is>
      </c>
      <c r="DE145" s="117" t="inlineStr">
        <is>
          <t/>
        </is>
      </c>
      <c r="DF145" s="118" t="inlineStr">
        <is>
          <t/>
        </is>
      </c>
      <c r="DG145" s="119" t="inlineStr">
        <is>
          <t>3,17x</t>
        </is>
      </c>
      <c r="DH145" s="120" t="inlineStr">
        <is>
          <t>73</t>
        </is>
      </c>
      <c r="DI145" s="121" t="inlineStr">
        <is>
          <t>93,70x</t>
        </is>
      </c>
      <c r="DJ145" s="122" t="inlineStr">
        <is>
          <t>95</t>
        </is>
      </c>
      <c r="DK145" s="123" t="inlineStr">
        <is>
          <t>5,90x</t>
        </is>
      </c>
      <c r="DL145" s="124" t="inlineStr">
        <is>
          <t>81</t>
        </is>
      </c>
      <c r="DM145" s="125" t="inlineStr">
        <is>
          <t/>
        </is>
      </c>
      <c r="DN145" s="126" t="inlineStr">
        <is>
          <t/>
        </is>
      </c>
      <c r="DO145" s="127" t="inlineStr">
        <is>
          <t/>
        </is>
      </c>
      <c r="DP145" s="128" t="inlineStr">
        <is>
          <t>74.004</t>
        </is>
      </c>
      <c r="DQ145" s="129" t="inlineStr">
        <is>
          <t>876</t>
        </is>
      </c>
      <c r="DR145" s="130" t="inlineStr">
        <is>
          <t>1,20%</t>
        </is>
      </c>
      <c r="DS145" s="131" t="inlineStr">
        <is>
          <t>111</t>
        </is>
      </c>
      <c r="DT145" s="132" t="inlineStr">
        <is>
          <t>3</t>
        </is>
      </c>
      <c r="DU145" s="133" t="inlineStr">
        <is>
          <t>2,78%</t>
        </is>
      </c>
      <c r="DV145" s="134" t="inlineStr">
        <is>
          <t>2.203</t>
        </is>
      </c>
      <c r="DW145" s="135" t="inlineStr">
        <is>
          <t>9</t>
        </is>
      </c>
      <c r="DX145" s="136" t="inlineStr">
        <is>
          <t>0,41%</t>
        </is>
      </c>
      <c r="DY145" s="137" t="inlineStr">
        <is>
          <t>PitchBook Research</t>
        </is>
      </c>
      <c r="DZ145" s="785">
        <f>HYPERLINK("https://my.pitchbook.com?c=186378-40", "View company online")</f>
      </c>
    </row>
    <row r="146">
      <c r="A146" s="139" t="inlineStr">
        <is>
          <t>118275-58</t>
        </is>
      </c>
      <c r="B146" s="140" t="inlineStr">
        <is>
          <t>BuddyGuard</t>
        </is>
      </c>
      <c r="C146" s="141" t="inlineStr">
        <is>
          <t/>
        </is>
      </c>
      <c r="D146" s="142" t="inlineStr">
        <is>
          <t/>
        </is>
      </c>
      <c r="E146" s="143" t="inlineStr">
        <is>
          <t>118275-58</t>
        </is>
      </c>
      <c r="F146" s="144" t="inlineStr">
        <is>
          <t>Developer of an intelligent home security system designed to make homes safe. The company's home security device uses Artificial Intelligence and is integrated with high-definition 1080p LED night vision camera, motion detector, anti-tampering sensor, audio analysis and 1.2 GHz dual core processor, enabling homeowners to get alert for unwanted visitors and make their home safe.</t>
        </is>
      </c>
      <c r="G146" s="145" t="inlineStr">
        <is>
          <t>Consumer Products and Services (B2C)</t>
        </is>
      </c>
      <c r="H146" s="146" t="inlineStr">
        <is>
          <t>Consumer Durables</t>
        </is>
      </c>
      <c r="I146" s="147" t="inlineStr">
        <is>
          <t>Electronics (B2C)</t>
        </is>
      </c>
      <c r="J146" s="148" t="inlineStr">
        <is>
          <t>Electronics (B2C)*; Other Software</t>
        </is>
      </c>
      <c r="K146" s="149" t="inlineStr">
        <is>
          <t>Artificial Intelligence &amp; Machine Learning, Internet of Things</t>
        </is>
      </c>
      <c r="L146" s="150" t="inlineStr">
        <is>
          <t>Accelerator/Incubator Backed</t>
        </is>
      </c>
      <c r="M146" s="151" t="n">
        <v>3.58</v>
      </c>
      <c r="N146" s="152" t="inlineStr">
        <is>
          <t>Generating Revenue</t>
        </is>
      </c>
      <c r="O146" s="153" t="inlineStr">
        <is>
          <t>Privately Held (backing)</t>
        </is>
      </c>
      <c r="P146" s="154" t="inlineStr">
        <is>
          <t>Pre-venture</t>
        </is>
      </c>
      <c r="Q146" s="155" t="inlineStr">
        <is>
          <t>www.buddyguard.io</t>
        </is>
      </c>
      <c r="R146" s="156" t="n">
        <v>25.0</v>
      </c>
      <c r="S146" s="157" t="inlineStr">
        <is>
          <t/>
        </is>
      </c>
      <c r="T146" s="158" t="inlineStr">
        <is>
          <t/>
        </is>
      </c>
      <c r="U146" s="159" t="n">
        <v>2014.0</v>
      </c>
      <c r="V146" s="160" t="inlineStr">
        <is>
          <t/>
        </is>
      </c>
      <c r="W146" s="161" t="inlineStr">
        <is>
          <t/>
        </is>
      </c>
      <c r="X146" s="162" t="inlineStr">
        <is>
          <t/>
        </is>
      </c>
      <c r="Y146" s="163" t="inlineStr">
        <is>
          <t/>
        </is>
      </c>
      <c r="Z146" s="164" t="inlineStr">
        <is>
          <t/>
        </is>
      </c>
      <c r="AA146" s="165" t="inlineStr">
        <is>
          <t/>
        </is>
      </c>
      <c r="AB146" s="166" t="inlineStr">
        <is>
          <t/>
        </is>
      </c>
      <c r="AC146" s="167" t="inlineStr">
        <is>
          <t/>
        </is>
      </c>
      <c r="AD146" s="168" t="inlineStr">
        <is>
          <t/>
        </is>
      </c>
      <c r="AE146" s="169" t="inlineStr">
        <is>
          <t>125438-77P</t>
        </is>
      </c>
      <c r="AF146" s="170" t="inlineStr">
        <is>
          <t>Wouter Verhoog</t>
        </is>
      </c>
      <c r="AG146" s="171" t="inlineStr">
        <is>
          <t>Co-Founder, Chief Operating Officer &amp; Chief Marketing Officer</t>
        </is>
      </c>
      <c r="AH146" s="172" t="inlineStr">
        <is>
          <t>wouter@buddyguard.io</t>
        </is>
      </c>
      <c r="AI146" s="173" t="inlineStr">
        <is>
          <t/>
        </is>
      </c>
      <c r="AJ146" s="174" t="inlineStr">
        <is>
          <t>Berlin, Germany</t>
        </is>
      </c>
      <c r="AK146" s="175" t="inlineStr">
        <is>
          <t>Usedomer Strasse 4</t>
        </is>
      </c>
      <c r="AL146" s="176" t="inlineStr">
        <is>
          <t/>
        </is>
      </c>
      <c r="AM146" s="177" t="inlineStr">
        <is>
          <t>Berlin</t>
        </is>
      </c>
      <c r="AN146" s="178" t="inlineStr">
        <is>
          <t/>
        </is>
      </c>
      <c r="AO146" s="179" t="inlineStr">
        <is>
          <t>13355</t>
        </is>
      </c>
      <c r="AP146" s="180" t="inlineStr">
        <is>
          <t>Germany</t>
        </is>
      </c>
      <c r="AQ146" s="181" t="inlineStr">
        <is>
          <t/>
        </is>
      </c>
      <c r="AR146" s="182" t="inlineStr">
        <is>
          <t/>
        </is>
      </c>
      <c r="AS146" s="183" t="inlineStr">
        <is>
          <t/>
        </is>
      </c>
      <c r="AT146" s="184" t="inlineStr">
        <is>
          <t>Europe</t>
        </is>
      </c>
      <c r="AU146" s="185" t="inlineStr">
        <is>
          <t>Western Europe</t>
        </is>
      </c>
      <c r="AV146" s="186" t="inlineStr">
        <is>
          <t>The company raised EUR 3.4 million of angel funding in a deal led by Bachmann Group on October 18, 2017. As a part of the transaction, 20 unnamed angel investors also participated in the round. The funding will be used to ramp up marketing of the newly-launched device.</t>
        </is>
      </c>
      <c r="AW146" s="187" t="inlineStr">
        <is>
          <t>Bachmann Group, Microsoft Accelerator</t>
        </is>
      </c>
      <c r="AX146" s="188" t="n">
        <v>2.0</v>
      </c>
      <c r="AY146" s="189" t="inlineStr">
        <is>
          <t/>
        </is>
      </c>
      <c r="AZ146" s="190" t="inlineStr">
        <is>
          <t/>
        </is>
      </c>
      <c r="BA146" s="191" t="inlineStr">
        <is>
          <t/>
        </is>
      </c>
      <c r="BB146" s="192" t="inlineStr">
        <is>
          <t>Bachmann Group (www.bachmann.com), Microsoft Accelerator (www.microsoftaccelerator.com)</t>
        </is>
      </c>
      <c r="BC146" s="193" t="inlineStr">
        <is>
          <t/>
        </is>
      </c>
      <c r="BD146" s="194" t="inlineStr">
        <is>
          <t/>
        </is>
      </c>
      <c r="BE146" s="195" t="inlineStr">
        <is>
          <t/>
        </is>
      </c>
      <c r="BF146" s="196" t="inlineStr">
        <is>
          <t>Indiegogo (Lead Manager or Arranger), Kickstarter (Lead Manager or Arranger)</t>
        </is>
      </c>
      <c r="BG146" s="197" t="n">
        <v>42166.0</v>
      </c>
      <c r="BH146" s="198" t="n">
        <v>0.16</v>
      </c>
      <c r="BI146" s="199" t="inlineStr">
        <is>
          <t>Actual</t>
        </is>
      </c>
      <c r="BJ146" s="200" t="inlineStr">
        <is>
          <t/>
        </is>
      </c>
      <c r="BK146" s="201" t="inlineStr">
        <is>
          <t/>
        </is>
      </c>
      <c r="BL146" s="202" t="inlineStr">
        <is>
          <t>Product Crowdfunding</t>
        </is>
      </c>
      <c r="BM146" s="203" t="inlineStr">
        <is>
          <t/>
        </is>
      </c>
      <c r="BN146" s="204" t="inlineStr">
        <is>
          <t/>
        </is>
      </c>
      <c r="BO146" s="205" t="inlineStr">
        <is>
          <t>Individual</t>
        </is>
      </c>
      <c r="BP146" s="206" t="inlineStr">
        <is>
          <t/>
        </is>
      </c>
      <c r="BQ146" s="207" t="inlineStr">
        <is>
          <t/>
        </is>
      </c>
      <c r="BR146" s="208" t="inlineStr">
        <is>
          <t/>
        </is>
      </c>
      <c r="BS146" s="209" t="inlineStr">
        <is>
          <t>Completed</t>
        </is>
      </c>
      <c r="BT146" s="210" t="n">
        <v>43026.0</v>
      </c>
      <c r="BU146" s="211" t="n">
        <v>3.4</v>
      </c>
      <c r="BV146" s="212" t="inlineStr">
        <is>
          <t>Actual</t>
        </is>
      </c>
      <c r="BW146" s="213" t="inlineStr">
        <is>
          <t/>
        </is>
      </c>
      <c r="BX146" s="214" t="inlineStr">
        <is>
          <t/>
        </is>
      </c>
      <c r="BY146" s="215" t="inlineStr">
        <is>
          <t>Angel (individual)</t>
        </is>
      </c>
      <c r="BZ146" s="216" t="inlineStr">
        <is>
          <t>Angel</t>
        </is>
      </c>
      <c r="CA146" s="217" t="inlineStr">
        <is>
          <t/>
        </is>
      </c>
      <c r="CB146" s="218" t="inlineStr">
        <is>
          <t>Individual</t>
        </is>
      </c>
      <c r="CC146" s="219" t="inlineStr">
        <is>
          <t/>
        </is>
      </c>
      <c r="CD146" s="220" t="inlineStr">
        <is>
          <t/>
        </is>
      </c>
      <c r="CE146" s="221" t="inlineStr">
        <is>
          <t/>
        </is>
      </c>
      <c r="CF146" s="222" t="inlineStr">
        <is>
          <t>Completed</t>
        </is>
      </c>
      <c r="CG146" s="223" t="inlineStr">
        <is>
          <t>1,40%</t>
        </is>
      </c>
      <c r="CH146" s="224" t="inlineStr">
        <is>
          <t>96</t>
        </is>
      </c>
      <c r="CI146" s="225" t="inlineStr">
        <is>
          <t>0,21%</t>
        </is>
      </c>
      <c r="CJ146" s="226" t="inlineStr">
        <is>
          <t>18,05%</t>
        </is>
      </c>
      <c r="CK146" s="227" t="inlineStr">
        <is>
          <t>2,93%</t>
        </is>
      </c>
      <c r="CL146" s="228" t="inlineStr">
        <is>
          <t>98</t>
        </is>
      </c>
      <c r="CM146" s="229" t="inlineStr">
        <is>
          <t>0,19%</t>
        </is>
      </c>
      <c r="CN146" s="230" t="inlineStr">
        <is>
          <t>70</t>
        </is>
      </c>
      <c r="CO146" s="231" t="inlineStr">
        <is>
          <t>-1,13%</t>
        </is>
      </c>
      <c r="CP146" s="232" t="inlineStr">
        <is>
          <t>33</t>
        </is>
      </c>
      <c r="CQ146" s="233" t="inlineStr">
        <is>
          <t>7,00%</t>
        </is>
      </c>
      <c r="CR146" s="234" t="inlineStr">
        <is>
          <t>99</t>
        </is>
      </c>
      <c r="CS146" s="235" t="inlineStr">
        <is>
          <t>0,06%</t>
        </is>
      </c>
      <c r="CT146" s="236" t="inlineStr">
        <is>
          <t>50</t>
        </is>
      </c>
      <c r="CU146" s="237" t="inlineStr">
        <is>
          <t>0,32%</t>
        </is>
      </c>
      <c r="CV146" s="238" t="inlineStr">
        <is>
          <t>84</t>
        </is>
      </c>
      <c r="CW146" s="239" t="inlineStr">
        <is>
          <t>4,20x</t>
        </is>
      </c>
      <c r="CX146" s="240" t="inlineStr">
        <is>
          <t>77</t>
        </is>
      </c>
      <c r="CY146" s="241" t="inlineStr">
        <is>
          <t>0,05x</t>
        </is>
      </c>
      <c r="CZ146" s="242" t="inlineStr">
        <is>
          <t>1,31%</t>
        </is>
      </c>
      <c r="DA146" s="243" t="inlineStr">
        <is>
          <t>3,29x</t>
        </is>
      </c>
      <c r="DB146" s="244" t="inlineStr">
        <is>
          <t>75</t>
        </is>
      </c>
      <c r="DC146" s="245" t="inlineStr">
        <is>
          <t>9,23x</t>
        </is>
      </c>
      <c r="DD146" s="246" t="inlineStr">
        <is>
          <t>83</t>
        </is>
      </c>
      <c r="DE146" s="247" t="inlineStr">
        <is>
          <t>1,64x</t>
        </is>
      </c>
      <c r="DF146" s="248" t="inlineStr">
        <is>
          <t>62</t>
        </is>
      </c>
      <c r="DG146" s="249" t="inlineStr">
        <is>
          <t>4,94x</t>
        </is>
      </c>
      <c r="DH146" s="250" t="inlineStr">
        <is>
          <t>79</t>
        </is>
      </c>
      <c r="DI146" s="251" t="inlineStr">
        <is>
          <t>16,83x</t>
        </is>
      </c>
      <c r="DJ146" s="252" t="inlineStr">
        <is>
          <t>86</t>
        </is>
      </c>
      <c r="DK146" s="253" t="inlineStr">
        <is>
          <t>1,62x</t>
        </is>
      </c>
      <c r="DL146" s="254" t="inlineStr">
        <is>
          <t>60</t>
        </is>
      </c>
      <c r="DM146" s="255" t="inlineStr">
        <is>
          <t>592</t>
        </is>
      </c>
      <c r="DN146" s="256" t="inlineStr">
        <is>
          <t>80</t>
        </is>
      </c>
      <c r="DO146" s="257" t="inlineStr">
        <is>
          <t>15,63%</t>
        </is>
      </c>
      <c r="DP146" s="258" t="inlineStr">
        <is>
          <t>13.332</t>
        </is>
      </c>
      <c r="DQ146" s="259" t="inlineStr">
        <is>
          <t>-2</t>
        </is>
      </c>
      <c r="DR146" s="260" t="inlineStr">
        <is>
          <t>-0,01%</t>
        </is>
      </c>
      <c r="DS146" s="261" t="inlineStr">
        <is>
          <t>170</t>
        </is>
      </c>
      <c r="DT146" s="262" t="inlineStr">
        <is>
          <t>16</t>
        </is>
      </c>
      <c r="DU146" s="263" t="inlineStr">
        <is>
          <t>10,39%</t>
        </is>
      </c>
      <c r="DV146" s="264" t="inlineStr">
        <is>
          <t>605</t>
        </is>
      </c>
      <c r="DW146" s="265" t="inlineStr">
        <is>
          <t>-1</t>
        </is>
      </c>
      <c r="DX146" s="266" t="inlineStr">
        <is>
          <t>-0,17%</t>
        </is>
      </c>
      <c r="DY146" s="267" t="inlineStr">
        <is>
          <t>PitchBook Research</t>
        </is>
      </c>
      <c r="DZ146" s="786">
        <f>HYPERLINK("https://my.pitchbook.com?c=118275-58", "View company online")</f>
      </c>
    </row>
    <row r="147">
      <c r="A147" s="9" t="inlineStr">
        <is>
          <t>186355-27</t>
        </is>
      </c>
      <c r="B147" s="10" t="inlineStr">
        <is>
          <t>Blickfeld</t>
        </is>
      </c>
      <c r="C147" s="11" t="inlineStr">
        <is>
          <t/>
        </is>
      </c>
      <c r="D147" s="12" t="inlineStr">
        <is>
          <t/>
        </is>
      </c>
      <c r="E147" s="13" t="inlineStr">
        <is>
          <t>186355-27</t>
        </is>
      </c>
      <c r="F147" s="14" t="inlineStr">
        <is>
          <t>The company's laser range scanners (LiDARs) and object detection and mapping software use proprietary technology that creates high-definition, three-dimensional geometric maps. it is manufactured in low-cost mass fabrication and meets high automotive performance requirements. It creates long-range, high-definition 3D images of the world, enabling the automotive mass market to get low-cost decisive technologies towards autonomous driving.</t>
        </is>
      </c>
      <c r="G147" s="15" t="inlineStr">
        <is>
          <t>Information Technology</t>
        </is>
      </c>
      <c r="H147" s="16" t="inlineStr">
        <is>
          <t>Software</t>
        </is>
      </c>
      <c r="I147" s="17" t="inlineStr">
        <is>
          <t>Application Software</t>
        </is>
      </c>
      <c r="J147" s="18" t="inlineStr">
        <is>
          <t>Application Software*; Other Hardware</t>
        </is>
      </c>
      <c r="K147" s="19" t="inlineStr">
        <is>
          <t>Autonomous cars, Manufacturing</t>
        </is>
      </c>
      <c r="L147" s="20" t="inlineStr">
        <is>
          <t>Venture Capital-Backed</t>
        </is>
      </c>
      <c r="M147" s="21" t="n">
        <v>3.61</v>
      </c>
      <c r="N147" s="22" t="inlineStr">
        <is>
          <t>Generating Revenue</t>
        </is>
      </c>
      <c r="O147" s="23" t="inlineStr">
        <is>
          <t>Privately Held (backing)</t>
        </is>
      </c>
      <c r="P147" s="24" t="inlineStr">
        <is>
          <t>Venture Capital</t>
        </is>
      </c>
      <c r="Q147" s="25" t="inlineStr">
        <is>
          <t>www.blickfeld.com</t>
        </is>
      </c>
      <c r="R147" s="26" t="inlineStr">
        <is>
          <t/>
        </is>
      </c>
      <c r="S147" s="27" t="inlineStr">
        <is>
          <t/>
        </is>
      </c>
      <c r="T147" s="28" t="inlineStr">
        <is>
          <t/>
        </is>
      </c>
      <c r="U147" s="29" t="n">
        <v>2016.0</v>
      </c>
      <c r="V147" s="30" t="inlineStr">
        <is>
          <t/>
        </is>
      </c>
      <c r="W147" s="31" t="inlineStr">
        <is>
          <t/>
        </is>
      </c>
      <c r="X147" s="32" t="inlineStr">
        <is>
          <t/>
        </is>
      </c>
      <c r="Y147" s="33" t="inlineStr">
        <is>
          <t/>
        </is>
      </c>
      <c r="Z147" s="34" t="inlineStr">
        <is>
          <t/>
        </is>
      </c>
      <c r="AA147" s="35" t="inlineStr">
        <is>
          <t/>
        </is>
      </c>
      <c r="AB147" s="36" t="inlineStr">
        <is>
          <t/>
        </is>
      </c>
      <c r="AC147" s="37" t="inlineStr">
        <is>
          <t/>
        </is>
      </c>
      <c r="AD147" s="38" t="inlineStr">
        <is>
          <t/>
        </is>
      </c>
      <c r="AE147" s="39" t="inlineStr">
        <is>
          <t>41223-34P</t>
        </is>
      </c>
      <c r="AF147" s="40" t="inlineStr">
        <is>
          <t>Rolf Wojtech</t>
        </is>
      </c>
      <c r="AG147" s="41" t="inlineStr">
        <is>
          <t>Co-Founder</t>
        </is>
      </c>
      <c r="AH147" s="42" t="inlineStr">
        <is>
          <t/>
        </is>
      </c>
      <c r="AI147" s="43" t="inlineStr">
        <is>
          <t/>
        </is>
      </c>
      <c r="AJ147" s="44" t="inlineStr">
        <is>
          <t>Munich, Germany</t>
        </is>
      </c>
      <c r="AK147" s="45" t="inlineStr">
        <is>
          <t>Gunzenlehstr, 8</t>
        </is>
      </c>
      <c r="AL147" s="46" t="inlineStr">
        <is>
          <t/>
        </is>
      </c>
      <c r="AM147" s="47" t="inlineStr">
        <is>
          <t>Munich</t>
        </is>
      </c>
      <c r="AN147" s="48" t="inlineStr">
        <is>
          <t/>
        </is>
      </c>
      <c r="AO147" s="49" t="inlineStr">
        <is>
          <t>80689</t>
        </is>
      </c>
      <c r="AP147" s="50" t="inlineStr">
        <is>
          <t>Germany</t>
        </is>
      </c>
      <c r="AQ147" s="51" t="inlineStr">
        <is>
          <t/>
        </is>
      </c>
      <c r="AR147" s="52" t="inlineStr">
        <is>
          <t/>
        </is>
      </c>
      <c r="AS147" s="53" t="inlineStr">
        <is>
          <t>info@blickfeld.com</t>
        </is>
      </c>
      <c r="AT147" s="54" t="inlineStr">
        <is>
          <t>Europe</t>
        </is>
      </c>
      <c r="AU147" s="55" t="inlineStr">
        <is>
          <t>Western Europe</t>
        </is>
      </c>
      <c r="AV147" s="56" t="inlineStr">
        <is>
          <t>The company raised $4.25 million of Seed funding from led by Fluxunit, High-Tech Gründerfonds, Tengelmann Ventures and Unternehmertum Venture Capital Partners on October 24, 2017. Other undisclosed investors also participated in the round. The funds will be used to speed up our development and to enter first trials with automotive OEMs.</t>
        </is>
      </c>
      <c r="AW147" s="57" t="inlineStr">
        <is>
          <t>Fluxunit, High-Tech Gründerfonds, Tengelmann Ventures, Unternehmertum Venture Capital Partners</t>
        </is>
      </c>
      <c r="AX147" s="58" t="n">
        <v>4.0</v>
      </c>
      <c r="AY147" s="59" t="inlineStr">
        <is>
          <t/>
        </is>
      </c>
      <c r="AZ147" s="60" t="inlineStr">
        <is>
          <t/>
        </is>
      </c>
      <c r="BA147" s="61" t="inlineStr">
        <is>
          <t/>
        </is>
      </c>
      <c r="BB147" s="62" t="inlineStr">
        <is>
          <t>Fluxunit (www.fluxunit.eu), High-Tech Gründerfonds (www.high-tech-gruenderfonds.de), Tengelmann Ventures (www.tev.de), Unternehmertum Venture Capital Partners (www.uvcpartners.com)</t>
        </is>
      </c>
      <c r="BC147" s="63" t="inlineStr">
        <is>
          <t/>
        </is>
      </c>
      <c r="BD147" s="64" t="inlineStr">
        <is>
          <t/>
        </is>
      </c>
      <c r="BE147" s="65" t="inlineStr">
        <is>
          <t/>
        </is>
      </c>
      <c r="BF147" s="66" t="inlineStr">
        <is>
          <t/>
        </is>
      </c>
      <c r="BG147" s="67" t="n">
        <v>43032.0</v>
      </c>
      <c r="BH147" s="68" t="n">
        <v>3.61</v>
      </c>
      <c r="BI147" s="69" t="inlineStr">
        <is>
          <t>Actual</t>
        </is>
      </c>
      <c r="BJ147" s="70" t="inlineStr">
        <is>
          <t/>
        </is>
      </c>
      <c r="BK147" s="71" t="inlineStr">
        <is>
          <t/>
        </is>
      </c>
      <c r="BL147" s="72" t="inlineStr">
        <is>
          <t>Seed Round</t>
        </is>
      </c>
      <c r="BM147" s="73" t="inlineStr">
        <is>
          <t>Seed</t>
        </is>
      </c>
      <c r="BN147" s="74" t="inlineStr">
        <is>
          <t/>
        </is>
      </c>
      <c r="BO147" s="75" t="inlineStr">
        <is>
          <t>Venture Capital</t>
        </is>
      </c>
      <c r="BP147" s="76" t="inlineStr">
        <is>
          <t/>
        </is>
      </c>
      <c r="BQ147" s="77" t="inlineStr">
        <is>
          <t/>
        </is>
      </c>
      <c r="BR147" s="78" t="inlineStr">
        <is>
          <t/>
        </is>
      </c>
      <c r="BS147" s="79" t="inlineStr">
        <is>
          <t>Completed</t>
        </is>
      </c>
      <c r="BT147" s="80" t="n">
        <v>43032.0</v>
      </c>
      <c r="BU147" s="81" t="n">
        <v>3.61</v>
      </c>
      <c r="BV147" s="82" t="inlineStr">
        <is>
          <t>Actual</t>
        </is>
      </c>
      <c r="BW147" s="83" t="inlineStr">
        <is>
          <t/>
        </is>
      </c>
      <c r="BX147" s="84" t="inlineStr">
        <is>
          <t/>
        </is>
      </c>
      <c r="BY147" s="85" t="inlineStr">
        <is>
          <t>Seed Round</t>
        </is>
      </c>
      <c r="BZ147" s="86" t="inlineStr">
        <is>
          <t>Seed</t>
        </is>
      </c>
      <c r="CA147" s="87" t="inlineStr">
        <is>
          <t/>
        </is>
      </c>
      <c r="CB147" s="88" t="inlineStr">
        <is>
          <t>Venture Capital</t>
        </is>
      </c>
      <c r="CC147" s="89" t="inlineStr">
        <is>
          <t/>
        </is>
      </c>
      <c r="CD147" s="90" t="inlineStr">
        <is>
          <t/>
        </is>
      </c>
      <c r="CE147" s="91" t="inlineStr">
        <is>
          <t/>
        </is>
      </c>
      <c r="CF147" s="92" t="inlineStr">
        <is>
          <t>Completed</t>
        </is>
      </c>
      <c r="CG147" s="93" t="inlineStr">
        <is>
          <t>0,00%</t>
        </is>
      </c>
      <c r="CH147" s="94" t="inlineStr">
        <is>
          <t>33</t>
        </is>
      </c>
      <c r="CI147" s="95" t="inlineStr">
        <is>
          <t>0,00%</t>
        </is>
      </c>
      <c r="CJ147" s="96" t="inlineStr">
        <is>
          <t>0,00%</t>
        </is>
      </c>
      <c r="CK147" s="97" t="inlineStr">
        <is>
          <t>0,00%</t>
        </is>
      </c>
      <c r="CL147" s="98" t="inlineStr">
        <is>
          <t>28</t>
        </is>
      </c>
      <c r="CM147" s="99" t="inlineStr">
        <is>
          <t>0,00%</t>
        </is>
      </c>
      <c r="CN147" s="100" t="inlineStr">
        <is>
          <t>20</t>
        </is>
      </c>
      <c r="CO147" s="101" t="inlineStr">
        <is>
          <t/>
        </is>
      </c>
      <c r="CP147" s="102" t="inlineStr">
        <is>
          <t/>
        </is>
      </c>
      <c r="CQ147" s="103" t="inlineStr">
        <is>
          <t>0,00%</t>
        </is>
      </c>
      <c r="CR147" s="104" t="inlineStr">
        <is>
          <t>20</t>
        </is>
      </c>
      <c r="CS147" s="105" t="inlineStr">
        <is>
          <t>0,00%</t>
        </is>
      </c>
      <c r="CT147" s="106" t="inlineStr">
        <is>
          <t>18</t>
        </is>
      </c>
      <c r="CU147" s="107" t="inlineStr">
        <is>
          <t>0,00%</t>
        </is>
      </c>
      <c r="CV147" s="108" t="inlineStr">
        <is>
          <t>21</t>
        </is>
      </c>
      <c r="CW147" s="109" t="inlineStr">
        <is>
          <t>1,40x</t>
        </is>
      </c>
      <c r="CX147" s="110" t="inlineStr">
        <is>
          <t>57</t>
        </is>
      </c>
      <c r="CY147" s="111" t="inlineStr">
        <is>
          <t>0,01x</t>
        </is>
      </c>
      <c r="CZ147" s="112" t="inlineStr">
        <is>
          <t>1,06%</t>
        </is>
      </c>
      <c r="DA147" s="113" t="inlineStr">
        <is>
          <t>2,69x</t>
        </is>
      </c>
      <c r="DB147" s="114" t="inlineStr">
        <is>
          <t>72</t>
        </is>
      </c>
      <c r="DC147" s="115" t="inlineStr">
        <is>
          <t>0,11x</t>
        </is>
      </c>
      <c r="DD147" s="116" t="inlineStr">
        <is>
          <t>14</t>
        </is>
      </c>
      <c r="DE147" s="117" t="inlineStr">
        <is>
          <t/>
        </is>
      </c>
      <c r="DF147" s="118" t="inlineStr">
        <is>
          <t/>
        </is>
      </c>
      <c r="DG147" s="119" t="inlineStr">
        <is>
          <t>2,69x</t>
        </is>
      </c>
      <c r="DH147" s="120" t="inlineStr">
        <is>
          <t>70</t>
        </is>
      </c>
      <c r="DI147" s="121" t="inlineStr">
        <is>
          <t>0,10x</t>
        </is>
      </c>
      <c r="DJ147" s="122" t="inlineStr">
        <is>
          <t>14</t>
        </is>
      </c>
      <c r="DK147" s="123" t="inlineStr">
        <is>
          <t>0,11x</t>
        </is>
      </c>
      <c r="DL147" s="124" t="inlineStr">
        <is>
          <t>17</t>
        </is>
      </c>
      <c r="DM147" s="125" t="inlineStr">
        <is>
          <t/>
        </is>
      </c>
      <c r="DN147" s="126" t="inlineStr">
        <is>
          <t/>
        </is>
      </c>
      <c r="DO147" s="127" t="inlineStr">
        <is>
          <t/>
        </is>
      </c>
      <c r="DP147" s="128" t="inlineStr">
        <is>
          <t>76</t>
        </is>
      </c>
      <c r="DQ147" s="129" t="inlineStr">
        <is>
          <t>2</t>
        </is>
      </c>
      <c r="DR147" s="130" t="inlineStr">
        <is>
          <t>2,70%</t>
        </is>
      </c>
      <c r="DS147" s="131" t="inlineStr">
        <is>
          <t>96</t>
        </is>
      </c>
      <c r="DT147" s="132" t="inlineStr">
        <is>
          <t>6</t>
        </is>
      </c>
      <c r="DU147" s="133" t="inlineStr">
        <is>
          <t>6,67%</t>
        </is>
      </c>
      <c r="DV147" s="134" t="inlineStr">
        <is>
          <t>42</t>
        </is>
      </c>
      <c r="DW147" s="135" t="inlineStr">
        <is>
          <t>2</t>
        </is>
      </c>
      <c r="DX147" s="136" t="inlineStr">
        <is>
          <t>5,00%</t>
        </is>
      </c>
      <c r="DY147" s="137" t="inlineStr">
        <is>
          <t>PitchBook Research</t>
        </is>
      </c>
      <c r="DZ147" s="785">
        <f>HYPERLINK("https://my.pitchbook.com?c=186355-27", "View company online")</f>
      </c>
    </row>
    <row r="148">
      <c r="A148" s="139" t="inlineStr">
        <is>
          <t>101037-43</t>
        </is>
      </c>
      <c r="B148" s="140" t="inlineStr">
        <is>
          <t>ChartMogul</t>
        </is>
      </c>
      <c r="C148" s="141" t="inlineStr">
        <is>
          <t/>
        </is>
      </c>
      <c r="D148" s="142" t="inlineStr">
        <is>
          <t/>
        </is>
      </c>
      <c r="E148" s="143" t="inlineStr">
        <is>
          <t>101037-43</t>
        </is>
      </c>
      <c r="F148" s="144" t="inlineStr">
        <is>
          <t>Developer of SaaS-based analytics platform designed to calculate and understand recurring revenue. The company's analytics platform for subscription companies integrate with Stripe, Braintree, Chargify and Recurly and helps in viewing monthly recurring revenue, churn and lifetime value, enabling companies to measure, understand and grow their business.</t>
        </is>
      </c>
      <c r="G148" s="145" t="inlineStr">
        <is>
          <t>Information Technology</t>
        </is>
      </c>
      <c r="H148" s="146" t="inlineStr">
        <is>
          <t>Software</t>
        </is>
      </c>
      <c r="I148" s="147" t="inlineStr">
        <is>
          <t>Business/Productivity Software</t>
        </is>
      </c>
      <c r="J148" s="148" t="inlineStr">
        <is>
          <t>Business/Productivity Software*; Financial Software</t>
        </is>
      </c>
      <c r="K148" s="149" t="inlineStr">
        <is>
          <t>SaaS</t>
        </is>
      </c>
      <c r="L148" s="150" t="inlineStr">
        <is>
          <t>Venture Capital-Backed</t>
        </is>
      </c>
      <c r="M148" s="151" t="n">
        <v>3.65</v>
      </c>
      <c r="N148" s="152" t="inlineStr">
        <is>
          <t>Generating Revenue</t>
        </is>
      </c>
      <c r="O148" s="153" t="inlineStr">
        <is>
          <t>Privately Held (backing)</t>
        </is>
      </c>
      <c r="P148" s="154" t="inlineStr">
        <is>
          <t>Venture Capital</t>
        </is>
      </c>
      <c r="Q148" s="155" t="inlineStr">
        <is>
          <t>www.chartmogul.com</t>
        </is>
      </c>
      <c r="R148" s="156" t="n">
        <v>4.0</v>
      </c>
      <c r="S148" s="157" t="inlineStr">
        <is>
          <t/>
        </is>
      </c>
      <c r="T148" s="158" t="inlineStr">
        <is>
          <t/>
        </is>
      </c>
      <c r="U148" s="159" t="n">
        <v>2014.0</v>
      </c>
      <c r="V148" s="160" t="inlineStr">
        <is>
          <t/>
        </is>
      </c>
      <c r="W148" s="161" t="inlineStr">
        <is>
          <t/>
        </is>
      </c>
      <c r="X148" s="162" t="inlineStr">
        <is>
          <t/>
        </is>
      </c>
      <c r="Y148" s="163" t="inlineStr">
        <is>
          <t/>
        </is>
      </c>
      <c r="Z148" s="164" t="inlineStr">
        <is>
          <t/>
        </is>
      </c>
      <c r="AA148" s="165" t="inlineStr">
        <is>
          <t/>
        </is>
      </c>
      <c r="AB148" s="166" t="inlineStr">
        <is>
          <t/>
        </is>
      </c>
      <c r="AC148" s="167" t="inlineStr">
        <is>
          <t/>
        </is>
      </c>
      <c r="AD148" s="168" t="inlineStr">
        <is>
          <t/>
        </is>
      </c>
      <c r="AE148" s="169" t="inlineStr">
        <is>
          <t>90682-39P</t>
        </is>
      </c>
      <c r="AF148" s="170" t="inlineStr">
        <is>
          <t>Nick Franklin</t>
        </is>
      </c>
      <c r="AG148" s="171" t="inlineStr">
        <is>
          <t>Founder &amp; Chief Executive Officer</t>
        </is>
      </c>
      <c r="AH148" s="172" t="inlineStr">
        <is>
          <t>nick@chartmogul.com</t>
        </is>
      </c>
      <c r="AI148" s="173" t="inlineStr">
        <is>
          <t>+49 (0)44 2032 8611 15</t>
        </is>
      </c>
      <c r="AJ148" s="174" t="inlineStr">
        <is>
          <t>Berlin, Germany</t>
        </is>
      </c>
      <c r="AK148" s="175" t="inlineStr">
        <is>
          <t>Invalidenstraße 35</t>
        </is>
      </c>
      <c r="AL148" s="176" t="inlineStr">
        <is>
          <t/>
        </is>
      </c>
      <c r="AM148" s="177" t="inlineStr">
        <is>
          <t>Berlin</t>
        </is>
      </c>
      <c r="AN148" s="178" t="inlineStr">
        <is>
          <t/>
        </is>
      </c>
      <c r="AO148" s="179" t="inlineStr">
        <is>
          <t>10115</t>
        </is>
      </c>
      <c r="AP148" s="180" t="inlineStr">
        <is>
          <t>Germany</t>
        </is>
      </c>
      <c r="AQ148" s="181" t="inlineStr">
        <is>
          <t>+49 (0)44 2032 8611 15</t>
        </is>
      </c>
      <c r="AR148" s="182" t="inlineStr">
        <is>
          <t/>
        </is>
      </c>
      <c r="AS148" s="183" t="inlineStr">
        <is>
          <t>info@chartmogul.com</t>
        </is>
      </c>
      <c r="AT148" s="184" t="inlineStr">
        <is>
          <t>Europe</t>
        </is>
      </c>
      <c r="AU148" s="185" t="inlineStr">
        <is>
          <t>Western Europe</t>
        </is>
      </c>
      <c r="AV148" s="186" t="inlineStr">
        <is>
          <t>The company raised $2.2 million of venture funding in a deal led by Alven Capital Partners on November 6, 2017. Point Nine Capital and other undisclosed investors also participated in the round. The funds will be used for product development and hiring in the company's product and engineering teams as well as opening its first office in the U.S.</t>
        </is>
      </c>
      <c r="AW148" s="187" t="inlineStr">
        <is>
          <t>Alexander Aghassipour, Alven Capital Partners, Michael Hansen, Point Nine Capital, RTAventures, Tom James</t>
        </is>
      </c>
      <c r="AX148" s="188" t="n">
        <v>6.0</v>
      </c>
      <c r="AY148" s="189" t="inlineStr">
        <is>
          <t/>
        </is>
      </c>
      <c r="AZ148" s="190" t="inlineStr">
        <is>
          <t/>
        </is>
      </c>
      <c r="BA148" s="191" t="inlineStr">
        <is>
          <t/>
        </is>
      </c>
      <c r="BB148" s="192" t="inlineStr">
        <is>
          <t>Alven Capital Partners (www.alven.co), Point Nine Capital (www.pointninecap.com), RTAventures (www.rtaventures.com)</t>
        </is>
      </c>
      <c r="BC148" s="193" t="inlineStr">
        <is>
          <t/>
        </is>
      </c>
      <c r="BD148" s="194" t="inlineStr">
        <is>
          <t/>
        </is>
      </c>
      <c r="BE148" s="195" t="inlineStr">
        <is>
          <t/>
        </is>
      </c>
      <c r="BF148" s="196" t="inlineStr">
        <is>
          <t/>
        </is>
      </c>
      <c r="BG148" s="197" t="n">
        <v>42019.0</v>
      </c>
      <c r="BH148" s="198" t="n">
        <v>0.51</v>
      </c>
      <c r="BI148" s="199" t="inlineStr">
        <is>
          <t>Actual</t>
        </is>
      </c>
      <c r="BJ148" s="200" t="n">
        <v>2.35</v>
      </c>
      <c r="BK148" s="201" t="inlineStr">
        <is>
          <t>Actual</t>
        </is>
      </c>
      <c r="BL148" s="202" t="inlineStr">
        <is>
          <t>Seed Round</t>
        </is>
      </c>
      <c r="BM148" s="203" t="inlineStr">
        <is>
          <t>Seed</t>
        </is>
      </c>
      <c r="BN148" s="204" t="inlineStr">
        <is>
          <t/>
        </is>
      </c>
      <c r="BO148" s="205" t="inlineStr">
        <is>
          <t>Venture Capital</t>
        </is>
      </c>
      <c r="BP148" s="206" t="inlineStr">
        <is>
          <t/>
        </is>
      </c>
      <c r="BQ148" s="207" t="inlineStr">
        <is>
          <t/>
        </is>
      </c>
      <c r="BR148" s="208" t="inlineStr">
        <is>
          <t/>
        </is>
      </c>
      <c r="BS148" s="209" t="inlineStr">
        <is>
          <t>Completed</t>
        </is>
      </c>
      <c r="BT148" s="210" t="n">
        <v>43045.0</v>
      </c>
      <c r="BU148" s="211" t="n">
        <v>1.87</v>
      </c>
      <c r="BV148" s="212" t="inlineStr">
        <is>
          <t>Actual</t>
        </is>
      </c>
      <c r="BW148" s="213" t="inlineStr">
        <is>
          <t/>
        </is>
      </c>
      <c r="BX148" s="214" t="inlineStr">
        <is>
          <t/>
        </is>
      </c>
      <c r="BY148" s="215" t="inlineStr">
        <is>
          <t>Early Stage VC</t>
        </is>
      </c>
      <c r="BZ148" s="216" t="inlineStr">
        <is>
          <t/>
        </is>
      </c>
      <c r="CA148" s="217" t="inlineStr">
        <is>
          <t/>
        </is>
      </c>
      <c r="CB148" s="218" t="inlineStr">
        <is>
          <t>Venture Capital</t>
        </is>
      </c>
      <c r="CC148" s="219" t="inlineStr">
        <is>
          <t/>
        </is>
      </c>
      <c r="CD148" s="220" t="inlineStr">
        <is>
          <t/>
        </is>
      </c>
      <c r="CE148" s="221" t="inlineStr">
        <is>
          <t/>
        </is>
      </c>
      <c r="CF148" s="222" t="inlineStr">
        <is>
          <t>Completed</t>
        </is>
      </c>
      <c r="CG148" s="223" t="inlineStr">
        <is>
          <t>-1,95%</t>
        </is>
      </c>
      <c r="CH148" s="224" t="inlineStr">
        <is>
          <t>9</t>
        </is>
      </c>
      <c r="CI148" s="225" t="inlineStr">
        <is>
          <t>-0,05%</t>
        </is>
      </c>
      <c r="CJ148" s="226" t="inlineStr">
        <is>
          <t>-2,74%</t>
        </is>
      </c>
      <c r="CK148" s="227" t="inlineStr">
        <is>
          <t>-4,53%</t>
        </is>
      </c>
      <c r="CL148" s="228" t="inlineStr">
        <is>
          <t>8</t>
        </is>
      </c>
      <c r="CM148" s="229" t="inlineStr">
        <is>
          <t>0,62%</t>
        </is>
      </c>
      <c r="CN148" s="230" t="inlineStr">
        <is>
          <t>92</t>
        </is>
      </c>
      <c r="CO148" s="231" t="inlineStr">
        <is>
          <t>-9,05%</t>
        </is>
      </c>
      <c r="CP148" s="232" t="inlineStr">
        <is>
          <t>14</t>
        </is>
      </c>
      <c r="CQ148" s="233" t="inlineStr">
        <is>
          <t>0,00%</t>
        </is>
      </c>
      <c r="CR148" s="234" t="inlineStr">
        <is>
          <t>20</t>
        </is>
      </c>
      <c r="CS148" s="235" t="inlineStr">
        <is>
          <t>1,00%</t>
        </is>
      </c>
      <c r="CT148" s="236" t="inlineStr">
        <is>
          <t>94</t>
        </is>
      </c>
      <c r="CU148" s="237" t="inlineStr">
        <is>
          <t>0,24%</t>
        </is>
      </c>
      <c r="CV148" s="238" t="inlineStr">
        <is>
          <t>79</t>
        </is>
      </c>
      <c r="CW148" s="239" t="inlineStr">
        <is>
          <t>4,67x</t>
        </is>
      </c>
      <c r="CX148" s="240" t="inlineStr">
        <is>
          <t>79</t>
        </is>
      </c>
      <c r="CY148" s="241" t="inlineStr">
        <is>
          <t>-0,01x</t>
        </is>
      </c>
      <c r="CZ148" s="242" t="inlineStr">
        <is>
          <t>-0,30%</t>
        </is>
      </c>
      <c r="DA148" s="243" t="inlineStr">
        <is>
          <t>5,69x</t>
        </is>
      </c>
      <c r="DB148" s="244" t="inlineStr">
        <is>
          <t>83</t>
        </is>
      </c>
      <c r="DC148" s="245" t="inlineStr">
        <is>
          <t>3,64x</t>
        </is>
      </c>
      <c r="DD148" s="246" t="inlineStr">
        <is>
          <t>72</t>
        </is>
      </c>
      <c r="DE148" s="247" t="inlineStr">
        <is>
          <t>10,44x</t>
        </is>
      </c>
      <c r="DF148" s="248" t="inlineStr">
        <is>
          <t>88</t>
        </is>
      </c>
      <c r="DG148" s="249" t="inlineStr">
        <is>
          <t>0,94x</t>
        </is>
      </c>
      <c r="DH148" s="250" t="inlineStr">
        <is>
          <t>49</t>
        </is>
      </c>
      <c r="DI148" s="251" t="inlineStr">
        <is>
          <t>0,53x</t>
        </is>
      </c>
      <c r="DJ148" s="252" t="inlineStr">
        <is>
          <t>40</t>
        </is>
      </c>
      <c r="DK148" s="253" t="inlineStr">
        <is>
          <t>6,74x</t>
        </is>
      </c>
      <c r="DL148" s="254" t="inlineStr">
        <is>
          <t>83</t>
        </is>
      </c>
      <c r="DM148" s="255" t="inlineStr">
        <is>
          <t>3.853</t>
        </is>
      </c>
      <c r="DN148" s="256" t="inlineStr">
        <is>
          <t>105</t>
        </is>
      </c>
      <c r="DO148" s="257" t="inlineStr">
        <is>
          <t>2,80%</t>
        </is>
      </c>
      <c r="DP148" s="258" t="inlineStr">
        <is>
          <t>420</t>
        </is>
      </c>
      <c r="DQ148" s="259" t="inlineStr">
        <is>
          <t>3</t>
        </is>
      </c>
      <c r="DR148" s="260" t="inlineStr">
        <is>
          <t>0,72%</t>
        </is>
      </c>
      <c r="DS148" s="261" t="inlineStr">
        <is>
          <t>34</t>
        </is>
      </c>
      <c r="DT148" s="262" t="inlineStr">
        <is>
          <t>0</t>
        </is>
      </c>
      <c r="DU148" s="263" t="inlineStr">
        <is>
          <t>0,00%</t>
        </is>
      </c>
      <c r="DV148" s="264" t="inlineStr">
        <is>
          <t>2.516</t>
        </is>
      </c>
      <c r="DW148" s="265" t="inlineStr">
        <is>
          <t>1</t>
        </is>
      </c>
      <c r="DX148" s="266" t="inlineStr">
        <is>
          <t>0,04%</t>
        </is>
      </c>
      <c r="DY148" s="267" t="inlineStr">
        <is>
          <t>PitchBook Research</t>
        </is>
      </c>
      <c r="DZ148" s="786">
        <f>HYPERLINK("https://my.pitchbook.com?c=101037-43", "View company online")</f>
      </c>
    </row>
    <row r="149">
      <c r="A149" s="9" t="inlineStr">
        <is>
          <t>134145-37</t>
        </is>
      </c>
      <c r="B149" s="10" t="inlineStr">
        <is>
          <t>Wiztopic</t>
        </is>
      </c>
      <c r="C149" s="11" t="inlineStr">
        <is>
          <t/>
        </is>
      </c>
      <c r="D149" s="12" t="inlineStr">
        <is>
          <t/>
        </is>
      </c>
      <c r="E149" s="13" t="inlineStr">
        <is>
          <t>134145-37</t>
        </is>
      </c>
      <c r="F149" s="14" t="inlineStr">
        <is>
          <t>Developer of a cloud-based SaaS platform and a new generation of a corporate communications platform. The company corporate communications platform is dedicated to corporate and financial communication executives. It helps them to streamline content management, SEO, social and multichannel distribution, stakeholder relationships and performance assessment, in full compliance with their sectors' constraints. It manages all content formats (video, images, text, infographics, audio) and is adapted to mobile or other devices, enabling businesses executives to simplifies corporate and financial content distribution, stakeholders relationship management, event organization and tracking of communication performance.</t>
        </is>
      </c>
      <c r="G149" s="15" t="inlineStr">
        <is>
          <t>Information Technology</t>
        </is>
      </c>
      <c r="H149" s="16" t="inlineStr">
        <is>
          <t>Software</t>
        </is>
      </c>
      <c r="I149" s="17" t="inlineStr">
        <is>
          <t>Communication Software</t>
        </is>
      </c>
      <c r="J149" s="18" t="inlineStr">
        <is>
          <t>Communication Software*</t>
        </is>
      </c>
      <c r="K149" s="19" t="inlineStr">
        <is>
          <t>FinTech, Mobile, SaaS</t>
        </is>
      </c>
      <c r="L149" s="20" t="inlineStr">
        <is>
          <t>Venture Capital-Backed</t>
        </is>
      </c>
      <c r="M149" s="21" t="n">
        <v>3.74</v>
      </c>
      <c r="N149" s="22" t="inlineStr">
        <is>
          <t>Generating Revenue</t>
        </is>
      </c>
      <c r="O149" s="23" t="inlineStr">
        <is>
          <t>Privately Held (backing)</t>
        </is>
      </c>
      <c r="P149" s="24" t="inlineStr">
        <is>
          <t>Venture Capital</t>
        </is>
      </c>
      <c r="Q149" s="25" t="inlineStr">
        <is>
          <t>wiztopic.com</t>
        </is>
      </c>
      <c r="R149" s="26" t="inlineStr">
        <is>
          <t/>
        </is>
      </c>
      <c r="S149" s="27" t="inlineStr">
        <is>
          <t/>
        </is>
      </c>
      <c r="T149" s="28" t="inlineStr">
        <is>
          <t/>
        </is>
      </c>
      <c r="U149" s="29" t="n">
        <v>2014.0</v>
      </c>
      <c r="V149" s="30" t="inlineStr">
        <is>
          <t/>
        </is>
      </c>
      <c r="W149" s="31" t="inlineStr">
        <is>
          <t/>
        </is>
      </c>
      <c r="X149" s="32" t="inlineStr">
        <is>
          <t/>
        </is>
      </c>
      <c r="Y149" s="33" t="inlineStr">
        <is>
          <t/>
        </is>
      </c>
      <c r="Z149" s="34" t="inlineStr">
        <is>
          <t/>
        </is>
      </c>
      <c r="AA149" s="35" t="inlineStr">
        <is>
          <t/>
        </is>
      </c>
      <c r="AB149" s="36" t="inlineStr">
        <is>
          <t/>
        </is>
      </c>
      <c r="AC149" s="37" t="inlineStr">
        <is>
          <t/>
        </is>
      </c>
      <c r="AD149" s="38" t="inlineStr">
        <is>
          <t/>
        </is>
      </c>
      <c r="AE149" s="39" t="inlineStr">
        <is>
          <t>173327-32P</t>
        </is>
      </c>
      <c r="AF149" s="40" t="inlineStr">
        <is>
          <t>Jérôme Lascombe</t>
        </is>
      </c>
      <c r="AG149" s="41" t="inlineStr">
        <is>
          <t>Co-Founder, President &amp; Chairman</t>
        </is>
      </c>
      <c r="AH149" s="42" t="inlineStr">
        <is>
          <t>jl@fr.wiztopic.com</t>
        </is>
      </c>
      <c r="AI149" s="43" t="inlineStr">
        <is>
          <t/>
        </is>
      </c>
      <c r="AJ149" s="44" t="inlineStr">
        <is>
          <t>Paris, France</t>
        </is>
      </c>
      <c r="AK149" s="45" t="inlineStr">
        <is>
          <t>28 rue des Petites Écuries</t>
        </is>
      </c>
      <c r="AL149" s="46" t="inlineStr">
        <is>
          <t/>
        </is>
      </c>
      <c r="AM149" s="47" t="inlineStr">
        <is>
          <t>Paris</t>
        </is>
      </c>
      <c r="AN149" s="48" t="inlineStr">
        <is>
          <t/>
        </is>
      </c>
      <c r="AO149" s="49" t="inlineStr">
        <is>
          <t>75010</t>
        </is>
      </c>
      <c r="AP149" s="50" t="inlineStr">
        <is>
          <t>France</t>
        </is>
      </c>
      <c r="AQ149" s="51" t="inlineStr">
        <is>
          <t/>
        </is>
      </c>
      <c r="AR149" s="52" t="inlineStr">
        <is>
          <t/>
        </is>
      </c>
      <c r="AS149" s="53" t="inlineStr">
        <is>
          <t/>
        </is>
      </c>
      <c r="AT149" s="54" t="inlineStr">
        <is>
          <t>Europe</t>
        </is>
      </c>
      <c r="AU149" s="55" t="inlineStr">
        <is>
          <t>Western Europe</t>
        </is>
      </c>
      <c r="AV149" s="56" t="inlineStr">
        <is>
          <t>The company raised $4.4 million of venture funding led by NewAlpha Asset Management on October 10, 2017. Pierre-Antoine Dusoulier, François Le Corno, Gérard Augustin-Normand and Didier Rousseau also participated in the round. The funds will be used to further expand into the US and Europe.</t>
        </is>
      </c>
      <c r="AW149" s="57" t="inlineStr">
        <is>
          <t>Didier Rousseau, François Le Corno, Gérard Augustin-Normand, New Alpha Asset Management, Pierre-Antoine Dusoulier</t>
        </is>
      </c>
      <c r="AX149" s="58" t="n">
        <v>5.0</v>
      </c>
      <c r="AY149" s="59" t="inlineStr">
        <is>
          <t/>
        </is>
      </c>
      <c r="AZ149" s="60" t="inlineStr">
        <is>
          <t/>
        </is>
      </c>
      <c r="BA149" s="61" t="inlineStr">
        <is>
          <t/>
        </is>
      </c>
      <c r="BB149" s="62" t="inlineStr">
        <is>
          <t>New Alpha Asset Management (www.newalpha.net)</t>
        </is>
      </c>
      <c r="BC149" s="63" t="inlineStr">
        <is>
          <t/>
        </is>
      </c>
      <c r="BD149" s="64" t="inlineStr">
        <is>
          <t/>
        </is>
      </c>
      <c r="BE149" s="65" t="inlineStr">
        <is>
          <t/>
        </is>
      </c>
      <c r="BF149" s="66" t="inlineStr">
        <is>
          <t/>
        </is>
      </c>
      <c r="BG149" s="67" t="n">
        <v>43034.0</v>
      </c>
      <c r="BH149" s="68" t="n">
        <v>3.74</v>
      </c>
      <c r="BI149" s="69" t="inlineStr">
        <is>
          <t>Actual</t>
        </is>
      </c>
      <c r="BJ149" s="70" t="inlineStr">
        <is>
          <t/>
        </is>
      </c>
      <c r="BK149" s="71" t="inlineStr">
        <is>
          <t/>
        </is>
      </c>
      <c r="BL149" s="72" t="inlineStr">
        <is>
          <t>Early Stage VC</t>
        </is>
      </c>
      <c r="BM149" s="73" t="inlineStr">
        <is>
          <t/>
        </is>
      </c>
      <c r="BN149" s="74" t="inlineStr">
        <is>
          <t/>
        </is>
      </c>
      <c r="BO149" s="75" t="inlineStr">
        <is>
          <t>Venture Capital</t>
        </is>
      </c>
      <c r="BP149" s="76" t="inlineStr">
        <is>
          <t/>
        </is>
      </c>
      <c r="BQ149" s="77" t="inlineStr">
        <is>
          <t/>
        </is>
      </c>
      <c r="BR149" s="78" t="inlineStr">
        <is>
          <t/>
        </is>
      </c>
      <c r="BS149" s="79" t="inlineStr">
        <is>
          <t>Completed</t>
        </is>
      </c>
      <c r="BT149" s="80" t="n">
        <v>43034.0</v>
      </c>
      <c r="BU149" s="81" t="n">
        <v>3.74</v>
      </c>
      <c r="BV149" s="82" t="inlineStr">
        <is>
          <t>Actual</t>
        </is>
      </c>
      <c r="BW149" s="83" t="inlineStr">
        <is>
          <t/>
        </is>
      </c>
      <c r="BX149" s="84" t="inlineStr">
        <is>
          <t/>
        </is>
      </c>
      <c r="BY149" s="85" t="inlineStr">
        <is>
          <t>Early Stage VC</t>
        </is>
      </c>
      <c r="BZ149" s="86" t="inlineStr">
        <is>
          <t/>
        </is>
      </c>
      <c r="CA149" s="87" t="inlineStr">
        <is>
          <t/>
        </is>
      </c>
      <c r="CB149" s="88" t="inlineStr">
        <is>
          <t>Venture Capital</t>
        </is>
      </c>
      <c r="CC149" s="89" t="inlineStr">
        <is>
          <t/>
        </is>
      </c>
      <c r="CD149" s="90" t="inlineStr">
        <is>
          <t/>
        </is>
      </c>
      <c r="CE149" s="91" t="inlineStr">
        <is>
          <t/>
        </is>
      </c>
      <c r="CF149" s="92" t="inlineStr">
        <is>
          <t>Completed</t>
        </is>
      </c>
      <c r="CG149" s="93" t="inlineStr">
        <is>
          <t>-0,29%</t>
        </is>
      </c>
      <c r="CH149" s="94" t="inlineStr">
        <is>
          <t>21</t>
        </is>
      </c>
      <c r="CI149" s="95" t="inlineStr">
        <is>
          <t>0,16%</t>
        </is>
      </c>
      <c r="CJ149" s="96" t="inlineStr">
        <is>
          <t>35,98%</t>
        </is>
      </c>
      <c r="CK149" s="97" t="inlineStr">
        <is>
          <t>-1,31%</t>
        </is>
      </c>
      <c r="CL149" s="98" t="inlineStr">
        <is>
          <t>17</t>
        </is>
      </c>
      <c r="CM149" s="99" t="inlineStr">
        <is>
          <t>0,73%</t>
        </is>
      </c>
      <c r="CN149" s="100" t="inlineStr">
        <is>
          <t>93</t>
        </is>
      </c>
      <c r="CO149" s="101" t="inlineStr">
        <is>
          <t>-2,62%</t>
        </is>
      </c>
      <c r="CP149" s="102" t="inlineStr">
        <is>
          <t>28</t>
        </is>
      </c>
      <c r="CQ149" s="103" t="inlineStr">
        <is>
          <t>0,00%</t>
        </is>
      </c>
      <c r="CR149" s="104" t="inlineStr">
        <is>
          <t>20</t>
        </is>
      </c>
      <c r="CS149" s="105" t="inlineStr">
        <is>
          <t>1,36%</t>
        </is>
      </c>
      <c r="CT149" s="106" t="inlineStr">
        <is>
          <t>96</t>
        </is>
      </c>
      <c r="CU149" s="107" t="inlineStr">
        <is>
          <t>0,10%</t>
        </is>
      </c>
      <c r="CV149" s="108" t="inlineStr">
        <is>
          <t>66</t>
        </is>
      </c>
      <c r="CW149" s="109" t="inlineStr">
        <is>
          <t>1,65x</t>
        </is>
      </c>
      <c r="CX149" s="110" t="inlineStr">
        <is>
          <t>60</t>
        </is>
      </c>
      <c r="CY149" s="111" t="inlineStr">
        <is>
          <t>0,00x</t>
        </is>
      </c>
      <c r="CZ149" s="112" t="inlineStr">
        <is>
          <t>0,22%</t>
        </is>
      </c>
      <c r="DA149" s="113" t="inlineStr">
        <is>
          <t>1,07x</t>
        </is>
      </c>
      <c r="DB149" s="114" t="inlineStr">
        <is>
          <t>53</t>
        </is>
      </c>
      <c r="DC149" s="115" t="inlineStr">
        <is>
          <t>2,24x</t>
        </is>
      </c>
      <c r="DD149" s="116" t="inlineStr">
        <is>
          <t>64</t>
        </is>
      </c>
      <c r="DE149" s="117" t="inlineStr">
        <is>
          <t>0,08x</t>
        </is>
      </c>
      <c r="DF149" s="118" t="inlineStr">
        <is>
          <t>3</t>
        </is>
      </c>
      <c r="DG149" s="119" t="inlineStr">
        <is>
          <t>2,06x</t>
        </is>
      </c>
      <c r="DH149" s="120" t="inlineStr">
        <is>
          <t>65</t>
        </is>
      </c>
      <c r="DI149" s="121" t="inlineStr">
        <is>
          <t>0,23x</t>
        </is>
      </c>
      <c r="DJ149" s="122" t="inlineStr">
        <is>
          <t>26</t>
        </is>
      </c>
      <c r="DK149" s="123" t="inlineStr">
        <is>
          <t>4,25x</t>
        </is>
      </c>
      <c r="DL149" s="124" t="inlineStr">
        <is>
          <t>77</t>
        </is>
      </c>
      <c r="DM149" s="125" t="inlineStr">
        <is>
          <t>40</t>
        </is>
      </c>
      <c r="DN149" s="126" t="inlineStr">
        <is>
          <t>-26</t>
        </is>
      </c>
      <c r="DO149" s="127" t="inlineStr">
        <is>
          <t>-39,39%</t>
        </is>
      </c>
      <c r="DP149" s="128" t="inlineStr">
        <is>
          <t>177</t>
        </is>
      </c>
      <c r="DQ149" s="129" t="inlineStr">
        <is>
          <t>9</t>
        </is>
      </c>
      <c r="DR149" s="130" t="inlineStr">
        <is>
          <t>5,36%</t>
        </is>
      </c>
      <c r="DS149" s="131" t="inlineStr">
        <is>
          <t>73</t>
        </is>
      </c>
      <c r="DT149" s="132" t="inlineStr">
        <is>
          <t>2</t>
        </is>
      </c>
      <c r="DU149" s="133" t="inlineStr">
        <is>
          <t>2,82%</t>
        </is>
      </c>
      <c r="DV149" s="134" t="inlineStr">
        <is>
          <t>1.581</t>
        </is>
      </c>
      <c r="DW149" s="135" t="inlineStr">
        <is>
          <t>-2</t>
        </is>
      </c>
      <c r="DX149" s="136" t="inlineStr">
        <is>
          <t>-0,13%</t>
        </is>
      </c>
      <c r="DY149" s="137" t="inlineStr">
        <is>
          <t>PitchBook Research</t>
        </is>
      </c>
      <c r="DZ149" s="785">
        <f>HYPERLINK("https://my.pitchbook.com?c=134145-37", "View company online")</f>
      </c>
    </row>
    <row r="150">
      <c r="A150" s="139" t="inlineStr">
        <is>
          <t>100819-99</t>
        </is>
      </c>
      <c r="B150" s="140" t="inlineStr">
        <is>
          <t>AppyParking</t>
        </is>
      </c>
      <c r="C150" s="141" t="inlineStr">
        <is>
          <t/>
        </is>
      </c>
      <c r="D150" s="142" t="inlineStr">
        <is>
          <t/>
        </is>
      </c>
      <c r="E150" s="143" t="inlineStr">
        <is>
          <t>100819-99</t>
        </is>
      </c>
      <c r="F150" s="144" t="inlineStr">
        <is>
          <t>Developer of a mobile parking application designed to offer off-street parking information. The company's mobile parking application has its own API that informs drivers if restrictions apply or not, helping them discover free or cheaper zones, locate controlled parking zones as well as show cheapest and nearest petrol stations, enabling drivers to get all the necessary information about their ride and to have complete peace of mind about a journey ahead.</t>
        </is>
      </c>
      <c r="G150" s="145" t="inlineStr">
        <is>
          <t>Information Technology</t>
        </is>
      </c>
      <c r="H150" s="146" t="inlineStr">
        <is>
          <t>Software</t>
        </is>
      </c>
      <c r="I150" s="147" t="inlineStr">
        <is>
          <t>Application Software</t>
        </is>
      </c>
      <c r="J150" s="148" t="inlineStr">
        <is>
          <t>Application Software*</t>
        </is>
      </c>
      <c r="K150" s="149" t="inlineStr">
        <is>
          <t>Mobile</t>
        </is>
      </c>
      <c r="L150" s="150" t="inlineStr">
        <is>
          <t>Venture Capital-Backed</t>
        </is>
      </c>
      <c r="M150" s="151" t="n">
        <v>3.9</v>
      </c>
      <c r="N150" s="152" t="inlineStr">
        <is>
          <t>Generating Revenue</t>
        </is>
      </c>
      <c r="O150" s="153" t="inlineStr">
        <is>
          <t>Privately Held (backing)</t>
        </is>
      </c>
      <c r="P150" s="154" t="inlineStr">
        <is>
          <t>Venture Capital</t>
        </is>
      </c>
      <c r="Q150" s="155" t="inlineStr">
        <is>
          <t>www.appyparking.com</t>
        </is>
      </c>
      <c r="R150" s="156" t="n">
        <v>11.0</v>
      </c>
      <c r="S150" s="157" t="inlineStr">
        <is>
          <t/>
        </is>
      </c>
      <c r="T150" s="158" t="inlineStr">
        <is>
          <t/>
        </is>
      </c>
      <c r="U150" s="159" t="n">
        <v>2013.0</v>
      </c>
      <c r="V150" s="160" t="inlineStr">
        <is>
          <t/>
        </is>
      </c>
      <c r="W150" s="161" t="inlineStr">
        <is>
          <t/>
        </is>
      </c>
      <c r="X150" s="162" t="inlineStr">
        <is>
          <t/>
        </is>
      </c>
      <c r="Y150" s="163" t="inlineStr">
        <is>
          <t/>
        </is>
      </c>
      <c r="Z150" s="164" t="inlineStr">
        <is>
          <t/>
        </is>
      </c>
      <c r="AA150" s="165" t="inlineStr">
        <is>
          <t/>
        </is>
      </c>
      <c r="AB150" s="166" t="inlineStr">
        <is>
          <t/>
        </is>
      </c>
      <c r="AC150" s="167" t="inlineStr">
        <is>
          <t/>
        </is>
      </c>
      <c r="AD150" s="168" t="inlineStr">
        <is>
          <t/>
        </is>
      </c>
      <c r="AE150" s="169" t="inlineStr">
        <is>
          <t>93378-16P</t>
        </is>
      </c>
      <c r="AF150" s="170" t="inlineStr">
        <is>
          <t>Enric Requena</t>
        </is>
      </c>
      <c r="AG150" s="171" t="inlineStr">
        <is>
          <t>Co-Founder &amp; Co-Chief Technology Officer</t>
        </is>
      </c>
      <c r="AH150" s="172" t="inlineStr">
        <is>
          <t>enric@appyparking.com</t>
        </is>
      </c>
      <c r="AI150" s="173" t="inlineStr">
        <is>
          <t>+44 (0)20 3488 1707</t>
        </is>
      </c>
      <c r="AJ150" s="174" t="inlineStr">
        <is>
          <t>London, United Kingdom</t>
        </is>
      </c>
      <c r="AK150" s="175" t="inlineStr">
        <is>
          <t>10-16 Scrutton Street</t>
        </is>
      </c>
      <c r="AL150" s="176" t="inlineStr">
        <is>
          <t/>
        </is>
      </c>
      <c r="AM150" s="177" t="inlineStr">
        <is>
          <t>London</t>
        </is>
      </c>
      <c r="AN150" s="178" t="inlineStr">
        <is>
          <t>England</t>
        </is>
      </c>
      <c r="AO150" s="179" t="inlineStr">
        <is>
          <t>EC2A 4RU</t>
        </is>
      </c>
      <c r="AP150" s="180" t="inlineStr">
        <is>
          <t>United Kingdom</t>
        </is>
      </c>
      <c r="AQ150" s="181" t="inlineStr">
        <is>
          <t>+44 (0)20 3488 1707</t>
        </is>
      </c>
      <c r="AR150" s="182" t="inlineStr">
        <is>
          <t/>
        </is>
      </c>
      <c r="AS150" s="183" t="inlineStr">
        <is>
          <t>info@appyparking.com</t>
        </is>
      </c>
      <c r="AT150" s="184" t="inlineStr">
        <is>
          <t>Europe</t>
        </is>
      </c>
      <c r="AU150" s="185" t="inlineStr">
        <is>
          <t>Western Europe</t>
        </is>
      </c>
      <c r="AV150" s="186" t="inlineStr">
        <is>
          <t>The company raised GBP 2.25 million of venture funding from Aviva Ventures and Breed Reply on September 18, 2017. The company will use the funds to support its continued growth including mapping more UK cities as it aims to be available nationwide.</t>
        </is>
      </c>
      <c r="AW150" s="187" t="inlineStr">
        <is>
          <t>Aviva Ventures, Breed Reply, Frederick Achom, Microsoft Accelerator, Premier Parking USA, Rosemont Group Capital Partners</t>
        </is>
      </c>
      <c r="AX150" s="188" t="n">
        <v>6.0</v>
      </c>
      <c r="AY150" s="189" t="inlineStr">
        <is>
          <t/>
        </is>
      </c>
      <c r="AZ150" s="190" t="inlineStr">
        <is>
          <t/>
        </is>
      </c>
      <c r="BA150" s="191" t="inlineStr">
        <is>
          <t/>
        </is>
      </c>
      <c r="BB150" s="192" t="inlineStr">
        <is>
          <t>Breed Reply (www.breedreply.com), Microsoft Accelerator (www.microsoftaccelerator.com), Premier Parking USA (premierparkingusa.com), Rosemont Group Capital Partners (www.rosemontgroup.vc)</t>
        </is>
      </c>
      <c r="BC150" s="193" t="inlineStr">
        <is>
          <t/>
        </is>
      </c>
      <c r="BD150" s="194" t="inlineStr">
        <is>
          <t/>
        </is>
      </c>
      <c r="BE150" s="195" t="inlineStr">
        <is>
          <t>A City Law Firm (Legal Advisor)</t>
        </is>
      </c>
      <c r="BF150" s="196" t="inlineStr">
        <is>
          <t/>
        </is>
      </c>
      <c r="BG150" s="197" t="inlineStr">
        <is>
          <t/>
        </is>
      </c>
      <c r="BH150" s="198" t="inlineStr">
        <is>
          <t/>
        </is>
      </c>
      <c r="BI150" s="199" t="inlineStr">
        <is>
          <t/>
        </is>
      </c>
      <c r="BJ150" s="200" t="inlineStr">
        <is>
          <t/>
        </is>
      </c>
      <c r="BK150" s="201" t="inlineStr">
        <is>
          <t/>
        </is>
      </c>
      <c r="BL150" s="202" t="inlineStr">
        <is>
          <t>Accelerator/Incubator</t>
        </is>
      </c>
      <c r="BM150" s="203" t="inlineStr">
        <is>
          <t/>
        </is>
      </c>
      <c r="BN150" s="204" t="inlineStr">
        <is>
          <t/>
        </is>
      </c>
      <c r="BO150" s="205" t="inlineStr">
        <is>
          <t>Other</t>
        </is>
      </c>
      <c r="BP150" s="206" t="inlineStr">
        <is>
          <t/>
        </is>
      </c>
      <c r="BQ150" s="207" t="inlineStr">
        <is>
          <t/>
        </is>
      </c>
      <c r="BR150" s="208" t="inlineStr">
        <is>
          <t/>
        </is>
      </c>
      <c r="BS150" s="209" t="inlineStr">
        <is>
          <t>Completed</t>
        </is>
      </c>
      <c r="BT150" s="210" t="n">
        <v>42996.0</v>
      </c>
      <c r="BU150" s="211" t="n">
        <v>2.51</v>
      </c>
      <c r="BV150" s="212" t="inlineStr">
        <is>
          <t>Actual</t>
        </is>
      </c>
      <c r="BW150" s="213" t="inlineStr">
        <is>
          <t/>
        </is>
      </c>
      <c r="BX150" s="214" t="inlineStr">
        <is>
          <t/>
        </is>
      </c>
      <c r="BY150" s="215" t="inlineStr">
        <is>
          <t>Early Stage VC</t>
        </is>
      </c>
      <c r="BZ150" s="216" t="inlineStr">
        <is>
          <t/>
        </is>
      </c>
      <c r="CA150" s="217" t="inlineStr">
        <is>
          <t/>
        </is>
      </c>
      <c r="CB150" s="218" t="inlineStr">
        <is>
          <t>Venture Capital</t>
        </is>
      </c>
      <c r="CC150" s="219" t="inlineStr">
        <is>
          <t/>
        </is>
      </c>
      <c r="CD150" s="220" t="inlineStr">
        <is>
          <t/>
        </is>
      </c>
      <c r="CE150" s="221" t="inlineStr">
        <is>
          <t/>
        </is>
      </c>
      <c r="CF150" s="222" t="inlineStr">
        <is>
          <t>Completed</t>
        </is>
      </c>
      <c r="CG150" s="223" t="inlineStr">
        <is>
          <t>-0,63%</t>
        </is>
      </c>
      <c r="CH150" s="224" t="inlineStr">
        <is>
          <t>17</t>
        </is>
      </c>
      <c r="CI150" s="225" t="inlineStr">
        <is>
          <t>-0,05%</t>
        </is>
      </c>
      <c r="CJ150" s="226" t="inlineStr">
        <is>
          <t>-7,67%</t>
        </is>
      </c>
      <c r="CK150" s="227" t="inlineStr">
        <is>
          <t>-1,25%</t>
        </is>
      </c>
      <c r="CL150" s="228" t="inlineStr">
        <is>
          <t>18</t>
        </is>
      </c>
      <c r="CM150" s="229" t="inlineStr">
        <is>
          <t>-0,01%</t>
        </is>
      </c>
      <c r="CN150" s="230" t="inlineStr">
        <is>
          <t>18</t>
        </is>
      </c>
      <c r="CO150" s="231" t="inlineStr">
        <is>
          <t>-1,91%</t>
        </is>
      </c>
      <c r="CP150" s="232" t="inlineStr">
        <is>
          <t>30</t>
        </is>
      </c>
      <c r="CQ150" s="233" t="inlineStr">
        <is>
          <t>-0,60%</t>
        </is>
      </c>
      <c r="CR150" s="234" t="inlineStr">
        <is>
          <t>14</t>
        </is>
      </c>
      <c r="CS150" s="235" t="inlineStr">
        <is>
          <t>-0,10%</t>
        </is>
      </c>
      <c r="CT150" s="236" t="inlineStr">
        <is>
          <t>3</t>
        </is>
      </c>
      <c r="CU150" s="237" t="inlineStr">
        <is>
          <t>0,08%</t>
        </is>
      </c>
      <c r="CV150" s="238" t="inlineStr">
        <is>
          <t>63</t>
        </is>
      </c>
      <c r="CW150" s="239" t="inlineStr">
        <is>
          <t>4,80x</t>
        </is>
      </c>
      <c r="CX150" s="240" t="inlineStr">
        <is>
          <t>79</t>
        </is>
      </c>
      <c r="CY150" s="241" t="inlineStr">
        <is>
          <t>-0,02x</t>
        </is>
      </c>
      <c r="CZ150" s="242" t="inlineStr">
        <is>
          <t>-0,42%</t>
        </is>
      </c>
      <c r="DA150" s="243" t="inlineStr">
        <is>
          <t>6,80x</t>
        </is>
      </c>
      <c r="DB150" s="244" t="inlineStr">
        <is>
          <t>85</t>
        </is>
      </c>
      <c r="DC150" s="245" t="inlineStr">
        <is>
          <t>2,80x</t>
        </is>
      </c>
      <c r="DD150" s="246" t="inlineStr">
        <is>
          <t>68</t>
        </is>
      </c>
      <c r="DE150" s="247" t="inlineStr">
        <is>
          <t>8,54x</t>
        </is>
      </c>
      <c r="DF150" s="248" t="inlineStr">
        <is>
          <t>86</t>
        </is>
      </c>
      <c r="DG150" s="249" t="inlineStr">
        <is>
          <t>5,06x</t>
        </is>
      </c>
      <c r="DH150" s="250" t="inlineStr">
        <is>
          <t>79</t>
        </is>
      </c>
      <c r="DI150" s="251" t="inlineStr">
        <is>
          <t>2,08x</t>
        </is>
      </c>
      <c r="DJ150" s="252" t="inlineStr">
        <is>
          <t>63</t>
        </is>
      </c>
      <c r="DK150" s="253" t="inlineStr">
        <is>
          <t>3,52x</t>
        </is>
      </c>
      <c r="DL150" s="254" t="inlineStr">
        <is>
          <t>74</t>
        </is>
      </c>
      <c r="DM150" s="255" t="inlineStr">
        <is>
          <t>3.163</t>
        </is>
      </c>
      <c r="DN150" s="256" t="inlineStr">
        <is>
          <t>20</t>
        </is>
      </c>
      <c r="DO150" s="257" t="inlineStr">
        <is>
          <t>0,64%</t>
        </is>
      </c>
      <c r="DP150" s="258" t="inlineStr">
        <is>
          <t>1.646</t>
        </is>
      </c>
      <c r="DQ150" s="259" t="inlineStr">
        <is>
          <t>-2</t>
        </is>
      </c>
      <c r="DR150" s="260" t="inlineStr">
        <is>
          <t>-0,12%</t>
        </is>
      </c>
      <c r="DS150" s="261" t="inlineStr">
        <is>
          <t>182</t>
        </is>
      </c>
      <c r="DT150" s="262" t="inlineStr">
        <is>
          <t>-1</t>
        </is>
      </c>
      <c r="DU150" s="263" t="inlineStr">
        <is>
          <t>-0,55%</t>
        </is>
      </c>
      <c r="DV150" s="264" t="inlineStr">
        <is>
          <t>1.316</t>
        </is>
      </c>
      <c r="DW150" s="265" t="inlineStr">
        <is>
          <t>0</t>
        </is>
      </c>
      <c r="DX150" s="266" t="inlineStr">
        <is>
          <t>0,00%</t>
        </is>
      </c>
      <c r="DY150" s="267" t="inlineStr">
        <is>
          <t>PitchBook Research</t>
        </is>
      </c>
      <c r="DZ150" s="786">
        <f>HYPERLINK("https://my.pitchbook.com?c=100819-99", "View company online")</f>
      </c>
    </row>
    <row r="151">
      <c r="A151" s="9" t="inlineStr">
        <is>
          <t>59048-83</t>
        </is>
      </c>
      <c r="B151" s="10" t="inlineStr">
        <is>
          <t>Withlocals</t>
        </is>
      </c>
      <c r="C151" s="11" t="inlineStr">
        <is>
          <t/>
        </is>
      </c>
      <c r="D151" s="12" t="inlineStr">
        <is>
          <t/>
        </is>
      </c>
      <c r="E151" s="13" t="inlineStr">
        <is>
          <t>59048-83</t>
        </is>
      </c>
      <c r="F151" s="14" t="inlineStr">
        <is>
          <t>Provider of an online peer-to-peer marketplace intended to provide private tours of cities by local hosts. The company's online peer-to-peer marketplace includes bookings and chat with locals and book one of the unforgettable local things to do and food experiences they're offering, enabling users to provide a personalised travel experience with the real taste of local culture.</t>
        </is>
      </c>
      <c r="G151" s="15" t="inlineStr">
        <is>
          <t>Information Technology</t>
        </is>
      </c>
      <c r="H151" s="16" t="inlineStr">
        <is>
          <t>Software</t>
        </is>
      </c>
      <c r="I151" s="17" t="inlineStr">
        <is>
          <t>Application Software</t>
        </is>
      </c>
      <c r="J151" s="18" t="inlineStr">
        <is>
          <t>Application Software*; Social/Platform Software</t>
        </is>
      </c>
      <c r="K151" s="19" t="inlineStr">
        <is>
          <t>Mobile</t>
        </is>
      </c>
      <c r="L151" s="20" t="inlineStr">
        <is>
          <t>Venture Capital-Backed</t>
        </is>
      </c>
      <c r="M151" s="21" t="n">
        <v>3.95</v>
      </c>
      <c r="N151" s="22" t="inlineStr">
        <is>
          <t>Generating Revenue</t>
        </is>
      </c>
      <c r="O151" s="23" t="inlineStr">
        <is>
          <t>Privately Held (backing)</t>
        </is>
      </c>
      <c r="P151" s="24" t="inlineStr">
        <is>
          <t>Venture Capital</t>
        </is>
      </c>
      <c r="Q151" s="25" t="inlineStr">
        <is>
          <t>www.withlocals.com</t>
        </is>
      </c>
      <c r="R151" s="26" t="n">
        <v>61.0</v>
      </c>
      <c r="S151" s="27" t="inlineStr">
        <is>
          <t/>
        </is>
      </c>
      <c r="T151" s="28" t="inlineStr">
        <is>
          <t/>
        </is>
      </c>
      <c r="U151" s="29" t="n">
        <v>2013.0</v>
      </c>
      <c r="V151" s="30" t="inlineStr">
        <is>
          <t/>
        </is>
      </c>
      <c r="W151" s="31" t="inlineStr">
        <is>
          <t/>
        </is>
      </c>
      <c r="X151" s="32" t="inlineStr">
        <is>
          <t/>
        </is>
      </c>
      <c r="Y151" s="33" t="inlineStr">
        <is>
          <t/>
        </is>
      </c>
      <c r="Z151" s="34" t="inlineStr">
        <is>
          <t/>
        </is>
      </c>
      <c r="AA151" s="35" t="inlineStr">
        <is>
          <t/>
        </is>
      </c>
      <c r="AB151" s="36" t="inlineStr">
        <is>
          <t/>
        </is>
      </c>
      <c r="AC151" s="37" t="inlineStr">
        <is>
          <t/>
        </is>
      </c>
      <c r="AD151" s="38" t="inlineStr">
        <is>
          <t/>
        </is>
      </c>
      <c r="AE151" s="39" t="inlineStr">
        <is>
          <t>53859-25P</t>
        </is>
      </c>
      <c r="AF151" s="40" t="inlineStr">
        <is>
          <t>Ronald Crooy</t>
        </is>
      </c>
      <c r="AG151" s="41" t="inlineStr">
        <is>
          <t>Co-Founder &amp; Chief Data Architect</t>
        </is>
      </c>
      <c r="AH151" s="42" t="inlineStr">
        <is>
          <t/>
        </is>
      </c>
      <c r="AI151" s="43" t="inlineStr">
        <is>
          <t>+31 (0)20 261 3477</t>
        </is>
      </c>
      <c r="AJ151" s="44" t="inlineStr">
        <is>
          <t>Eindhoven, Netherlands</t>
        </is>
      </c>
      <c r="AK151" s="45" t="inlineStr">
        <is>
          <t>Emmasingel 25</t>
        </is>
      </c>
      <c r="AL151" s="46" t="inlineStr">
        <is>
          <t/>
        </is>
      </c>
      <c r="AM151" s="47" t="inlineStr">
        <is>
          <t>Eindhoven</t>
        </is>
      </c>
      <c r="AN151" s="48" t="inlineStr">
        <is>
          <t/>
        </is>
      </c>
      <c r="AO151" s="49" t="inlineStr">
        <is>
          <t>5611 AZ</t>
        </is>
      </c>
      <c r="AP151" s="50" t="inlineStr">
        <is>
          <t>Netherlands</t>
        </is>
      </c>
      <c r="AQ151" s="51" t="inlineStr">
        <is>
          <t>+31 (0)20 261 3477</t>
        </is>
      </c>
      <c r="AR151" s="52" t="inlineStr">
        <is>
          <t/>
        </is>
      </c>
      <c r="AS151" s="53" t="inlineStr">
        <is>
          <t>info@withlocals.com</t>
        </is>
      </c>
      <c r="AT151" s="54" t="inlineStr">
        <is>
          <t>Europe</t>
        </is>
      </c>
      <c r="AU151" s="55" t="inlineStr">
        <is>
          <t>Western Europe</t>
        </is>
      </c>
      <c r="AV151" s="56" t="inlineStr">
        <is>
          <t>The company raised $4.2 million of Series A venture funding in a deal led by INKEF Capital on October 11, 2017. Other undisclosed investors also participated in the round. The company intends to use the funds to expand into 40 more cities in the next year, including New York, Florence and Hong Kong. The company raised $7.5 million in total funding.</t>
        </is>
      </c>
      <c r="AW151" s="57" t="inlineStr">
        <is>
          <t>Greenhouse Group, Horizon 2020, INKEF Capital</t>
        </is>
      </c>
      <c r="AX151" s="58" t="n">
        <v>3.0</v>
      </c>
      <c r="AY151" s="59" t="inlineStr">
        <is>
          <t/>
        </is>
      </c>
      <c r="AZ151" s="60" t="inlineStr">
        <is>
          <t/>
        </is>
      </c>
      <c r="BA151" s="61" t="inlineStr">
        <is>
          <t/>
        </is>
      </c>
      <c r="BB151" s="62" t="inlineStr">
        <is>
          <t>Greenhouse Group (www.greenhousegroup.com), INKEF Capital (www.inkefcapital.com)</t>
        </is>
      </c>
      <c r="BC151" s="63" t="inlineStr">
        <is>
          <t/>
        </is>
      </c>
      <c r="BD151" s="64" t="inlineStr">
        <is>
          <t/>
        </is>
      </c>
      <c r="BE151" s="65" t="inlineStr">
        <is>
          <t/>
        </is>
      </c>
      <c r="BF151" s="66" t="inlineStr">
        <is>
          <t/>
        </is>
      </c>
      <c r="BG151" s="67" t="n">
        <v>41533.0</v>
      </c>
      <c r="BH151" s="68" t="n">
        <v>0.37</v>
      </c>
      <c r="BI151" s="69" t="inlineStr">
        <is>
          <t>Actual</t>
        </is>
      </c>
      <c r="BJ151" s="70" t="inlineStr">
        <is>
          <t/>
        </is>
      </c>
      <c r="BK151" s="71" t="inlineStr">
        <is>
          <t/>
        </is>
      </c>
      <c r="BL151" s="72" t="inlineStr">
        <is>
          <t>Seed Round</t>
        </is>
      </c>
      <c r="BM151" s="73" t="inlineStr">
        <is>
          <t>Seed</t>
        </is>
      </c>
      <c r="BN151" s="74" t="inlineStr">
        <is>
          <t/>
        </is>
      </c>
      <c r="BO151" s="75" t="inlineStr">
        <is>
          <t>Venture Capital</t>
        </is>
      </c>
      <c r="BP151" s="76" t="inlineStr">
        <is>
          <t/>
        </is>
      </c>
      <c r="BQ151" s="77" t="inlineStr">
        <is>
          <t/>
        </is>
      </c>
      <c r="BR151" s="78" t="inlineStr">
        <is>
          <t/>
        </is>
      </c>
      <c r="BS151" s="79" t="inlineStr">
        <is>
          <t>Completed</t>
        </is>
      </c>
      <c r="BT151" s="80" t="n">
        <v>43019.0</v>
      </c>
      <c r="BU151" s="81" t="n">
        <v>3.57</v>
      </c>
      <c r="BV151" s="82" t="inlineStr">
        <is>
          <t>Actual</t>
        </is>
      </c>
      <c r="BW151" s="83" t="inlineStr">
        <is>
          <t/>
        </is>
      </c>
      <c r="BX151" s="84" t="inlineStr">
        <is>
          <t/>
        </is>
      </c>
      <c r="BY151" s="85" t="inlineStr">
        <is>
          <t>Early Stage VC</t>
        </is>
      </c>
      <c r="BZ151" s="86" t="inlineStr">
        <is>
          <t>Series A</t>
        </is>
      </c>
      <c r="CA151" s="87" t="inlineStr">
        <is>
          <t/>
        </is>
      </c>
      <c r="CB151" s="88" t="inlineStr">
        <is>
          <t>Venture Capital</t>
        </is>
      </c>
      <c r="CC151" s="89" t="inlineStr">
        <is>
          <t/>
        </is>
      </c>
      <c r="CD151" s="90" t="inlineStr">
        <is>
          <t/>
        </is>
      </c>
      <c r="CE151" s="91" t="inlineStr">
        <is>
          <t/>
        </is>
      </c>
      <c r="CF151" s="92" t="inlineStr">
        <is>
          <t>Completed</t>
        </is>
      </c>
      <c r="CG151" s="93" t="inlineStr">
        <is>
          <t>-1,43%</t>
        </is>
      </c>
      <c r="CH151" s="94" t="inlineStr">
        <is>
          <t>12</t>
        </is>
      </c>
      <c r="CI151" s="95" t="inlineStr">
        <is>
          <t>-0,22%</t>
        </is>
      </c>
      <c r="CJ151" s="96" t="inlineStr">
        <is>
          <t>-18,02%</t>
        </is>
      </c>
      <c r="CK151" s="97" t="inlineStr">
        <is>
          <t>-6,85%</t>
        </is>
      </c>
      <c r="CL151" s="98" t="inlineStr">
        <is>
          <t>6</t>
        </is>
      </c>
      <c r="CM151" s="99" t="inlineStr">
        <is>
          <t>0,23%</t>
        </is>
      </c>
      <c r="CN151" s="100" t="inlineStr">
        <is>
          <t>74</t>
        </is>
      </c>
      <c r="CO151" s="101" t="inlineStr">
        <is>
          <t>-14,65%</t>
        </is>
      </c>
      <c r="CP151" s="102" t="inlineStr">
        <is>
          <t>8</t>
        </is>
      </c>
      <c r="CQ151" s="103" t="inlineStr">
        <is>
          <t>0,95%</t>
        </is>
      </c>
      <c r="CR151" s="104" t="inlineStr">
        <is>
          <t>93</t>
        </is>
      </c>
      <c r="CS151" s="105" t="inlineStr">
        <is>
          <t>0,19%</t>
        </is>
      </c>
      <c r="CT151" s="106" t="inlineStr">
        <is>
          <t>68</t>
        </is>
      </c>
      <c r="CU151" s="107" t="inlineStr">
        <is>
          <t>0,27%</t>
        </is>
      </c>
      <c r="CV151" s="108" t="inlineStr">
        <is>
          <t>82</t>
        </is>
      </c>
      <c r="CW151" s="109" t="inlineStr">
        <is>
          <t>45,01x</t>
        </is>
      </c>
      <c r="CX151" s="110" t="inlineStr">
        <is>
          <t>96</t>
        </is>
      </c>
      <c r="CY151" s="111" t="inlineStr">
        <is>
          <t>-0,15x</t>
        </is>
      </c>
      <c r="CZ151" s="112" t="inlineStr">
        <is>
          <t>-0,34%</t>
        </is>
      </c>
      <c r="DA151" s="113" t="inlineStr">
        <is>
          <t>33,08x</t>
        </is>
      </c>
      <c r="DB151" s="114" t="inlineStr">
        <is>
          <t>96</t>
        </is>
      </c>
      <c r="DC151" s="115" t="inlineStr">
        <is>
          <t>101,45x</t>
        </is>
      </c>
      <c r="DD151" s="116" t="inlineStr">
        <is>
          <t>97</t>
        </is>
      </c>
      <c r="DE151" s="117" t="inlineStr">
        <is>
          <t>22,71x</t>
        </is>
      </c>
      <c r="DF151" s="118" t="inlineStr">
        <is>
          <t>93</t>
        </is>
      </c>
      <c r="DG151" s="119" t="inlineStr">
        <is>
          <t>43,44x</t>
        </is>
      </c>
      <c r="DH151" s="120" t="inlineStr">
        <is>
          <t>97</t>
        </is>
      </c>
      <c r="DI151" s="121" t="inlineStr">
        <is>
          <t>194,54x</t>
        </is>
      </c>
      <c r="DJ151" s="122" t="inlineStr">
        <is>
          <t>97</t>
        </is>
      </c>
      <c r="DK151" s="123" t="inlineStr">
        <is>
          <t>8,35x</t>
        </is>
      </c>
      <c r="DL151" s="124" t="inlineStr">
        <is>
          <t>85</t>
        </is>
      </c>
      <c r="DM151" s="125" t="inlineStr">
        <is>
          <t>8.356</t>
        </is>
      </c>
      <c r="DN151" s="126" t="inlineStr">
        <is>
          <t>351</t>
        </is>
      </c>
      <c r="DO151" s="127" t="inlineStr">
        <is>
          <t>4,38%</t>
        </is>
      </c>
      <c r="DP151" s="128" t="inlineStr">
        <is>
          <t>154.032</t>
        </is>
      </c>
      <c r="DQ151" s="129" t="inlineStr">
        <is>
          <t>179</t>
        </is>
      </c>
      <c r="DR151" s="130" t="inlineStr">
        <is>
          <t>0,12%</t>
        </is>
      </c>
      <c r="DS151" s="131" t="inlineStr">
        <is>
          <t>1.558</t>
        </is>
      </c>
      <c r="DT151" s="132" t="inlineStr">
        <is>
          <t>14</t>
        </is>
      </c>
      <c r="DU151" s="133" t="inlineStr">
        <is>
          <t>0,91%</t>
        </is>
      </c>
      <c r="DV151" s="134" t="inlineStr">
        <is>
          <t>3.122</t>
        </is>
      </c>
      <c r="DW151" s="135" t="inlineStr">
        <is>
          <t>-2</t>
        </is>
      </c>
      <c r="DX151" s="136" t="inlineStr">
        <is>
          <t>-0,06%</t>
        </is>
      </c>
      <c r="DY151" s="137" t="inlineStr">
        <is>
          <t>PitchBook Research</t>
        </is>
      </c>
      <c r="DZ151" s="785">
        <f>HYPERLINK("https://my.pitchbook.com?c=59048-83", "View company online")</f>
      </c>
    </row>
    <row r="152">
      <c r="A152" s="139" t="inlineStr">
        <is>
          <t>153903-16</t>
        </is>
      </c>
      <c r="B152" s="140" t="inlineStr">
        <is>
          <t>The Curious AI Company</t>
        </is>
      </c>
      <c r="C152" s="141" t="inlineStr">
        <is>
          <t/>
        </is>
      </c>
      <c r="D152" s="142" t="inlineStr">
        <is>
          <t>Curious AI</t>
        </is>
      </c>
      <c r="E152" s="143" t="inlineStr">
        <is>
          <t>153903-16</t>
        </is>
      </c>
      <c r="F152" s="144" t="inlineStr">
        <is>
          <t>Developer of an artificial intelligence based digital co-worker technology designed to focus on semi-supervised and unsupervised machine learning. The company's digital co-worker technology offers a machine vision technology for autonomous vehicles and advanced software agents, enabling clients to apply unsupervised learning technology to various pilot application areas.</t>
        </is>
      </c>
      <c r="G152" s="145" t="inlineStr">
        <is>
          <t>Information Technology</t>
        </is>
      </c>
      <c r="H152" s="146" t="inlineStr">
        <is>
          <t>Software</t>
        </is>
      </c>
      <c r="I152" s="147" t="inlineStr">
        <is>
          <t>Application Software</t>
        </is>
      </c>
      <c r="J152" s="148" t="inlineStr">
        <is>
          <t>Application Software*</t>
        </is>
      </c>
      <c r="K152" s="149" t="inlineStr">
        <is>
          <t>Artificial Intelligence &amp; Machine Learning, Big Data</t>
        </is>
      </c>
      <c r="L152" s="150" t="inlineStr">
        <is>
          <t>Venture Capital-Backed</t>
        </is>
      </c>
      <c r="M152" s="151" t="n">
        <v>3.98</v>
      </c>
      <c r="N152" s="152" t="inlineStr">
        <is>
          <t>Generating Revenue</t>
        </is>
      </c>
      <c r="O152" s="153" t="inlineStr">
        <is>
          <t>Privately Held (backing)</t>
        </is>
      </c>
      <c r="P152" s="154" t="inlineStr">
        <is>
          <t>Venture Capital</t>
        </is>
      </c>
      <c r="Q152" s="155" t="inlineStr">
        <is>
          <t>www.thecuriousaicompany.com</t>
        </is>
      </c>
      <c r="R152" s="156" t="n">
        <v>17.0</v>
      </c>
      <c r="S152" s="157" t="inlineStr">
        <is>
          <t/>
        </is>
      </c>
      <c r="T152" s="158" t="inlineStr">
        <is>
          <t/>
        </is>
      </c>
      <c r="U152" s="159" t="n">
        <v>2015.0</v>
      </c>
      <c r="V152" s="160" t="inlineStr">
        <is>
          <t/>
        </is>
      </c>
      <c r="W152" s="161" t="inlineStr">
        <is>
          <t/>
        </is>
      </c>
      <c r="X152" s="162" t="inlineStr">
        <is>
          <t/>
        </is>
      </c>
      <c r="Y152" s="163" t="inlineStr">
        <is>
          <t/>
        </is>
      </c>
      <c r="Z152" s="164" t="inlineStr">
        <is>
          <t/>
        </is>
      </c>
      <c r="AA152" s="165" t="n">
        <v>-1.37546</v>
      </c>
      <c r="AB152" s="166" t="inlineStr">
        <is>
          <t/>
        </is>
      </c>
      <c r="AC152" s="167" t="n">
        <v>-1.37546</v>
      </c>
      <c r="AD152" s="168" t="inlineStr">
        <is>
          <t>FY 2016</t>
        </is>
      </c>
      <c r="AE152" s="169" t="inlineStr">
        <is>
          <t>56070-82P</t>
        </is>
      </c>
      <c r="AF152" s="170" t="inlineStr">
        <is>
          <t>Harri Valpola</t>
        </is>
      </c>
      <c r="AG152" s="171" t="inlineStr">
        <is>
          <t>Co-Founder &amp; Chief Executive Officer</t>
        </is>
      </c>
      <c r="AH152" s="172" t="inlineStr">
        <is>
          <t>harri@cai.fi</t>
        </is>
      </c>
      <c r="AI152" s="173" t="inlineStr">
        <is>
          <t>+358 (0)40 251 6090</t>
        </is>
      </c>
      <c r="AJ152" s="174" t="inlineStr">
        <is>
          <t>Helsinki, Finland</t>
        </is>
      </c>
      <c r="AK152" s="175" t="inlineStr">
        <is>
          <t>Hietaniemenkatu 2</t>
        </is>
      </c>
      <c r="AL152" s="176" t="inlineStr">
        <is>
          <t/>
        </is>
      </c>
      <c r="AM152" s="177" t="inlineStr">
        <is>
          <t>Helsinki</t>
        </is>
      </c>
      <c r="AN152" s="178" t="inlineStr">
        <is>
          <t/>
        </is>
      </c>
      <c r="AO152" s="179" t="inlineStr">
        <is>
          <t>00100</t>
        </is>
      </c>
      <c r="AP152" s="180" t="inlineStr">
        <is>
          <t>Finland</t>
        </is>
      </c>
      <c r="AQ152" s="181" t="inlineStr">
        <is>
          <t>+358 (0)40 251 6090</t>
        </is>
      </c>
      <c r="AR152" s="182" t="inlineStr">
        <is>
          <t/>
        </is>
      </c>
      <c r="AS152" s="183" t="inlineStr">
        <is>
          <t>info@cai.fi</t>
        </is>
      </c>
      <c r="AT152" s="184" t="inlineStr">
        <is>
          <t>Europe</t>
        </is>
      </c>
      <c r="AU152" s="185" t="inlineStr">
        <is>
          <t>Northern Europe</t>
        </is>
      </c>
      <c r="AV152" s="186" t="inlineStr">
        <is>
          <t>The company raised $3.67 million of seed funding in a deal led by Westcott on September 23, 2017. Tekes, Lifeline Ventures, Invus, Data Collective, Jaan Tallinn and Westcott also participated in the round. The company intends to use the funds to launch technologies by 2017.</t>
        </is>
      </c>
      <c r="AW152" s="187" t="inlineStr">
        <is>
          <t>Balderton Capital, Data Collective, Invus Group, Jaan Tallinn, Lifeline Ventures, Tekes, Westcott</t>
        </is>
      </c>
      <c r="AX152" s="188" t="n">
        <v>7.0</v>
      </c>
      <c r="AY152" s="189" t="inlineStr">
        <is>
          <t/>
        </is>
      </c>
      <c r="AZ152" s="190" t="inlineStr">
        <is>
          <t/>
        </is>
      </c>
      <c r="BA152" s="191" t="inlineStr">
        <is>
          <t/>
        </is>
      </c>
      <c r="BB152" s="192" t="inlineStr">
        <is>
          <t>Balderton Capital (www.balderton.com), Data Collective (www.dcvc.com), Invus Group (www.invus.com), Lifeline Ventures (www.lifelineventures.com), Tekes (www.tekes.fi), Westcott (www.westcott.com)</t>
        </is>
      </c>
      <c r="BC152" s="193" t="inlineStr">
        <is>
          <t/>
        </is>
      </c>
      <c r="BD152" s="194" t="inlineStr">
        <is>
          <t/>
        </is>
      </c>
      <c r="BE152" s="195" t="inlineStr">
        <is>
          <t/>
        </is>
      </c>
      <c r="BF152" s="196" t="inlineStr">
        <is>
          <t/>
        </is>
      </c>
      <c r="BG152" s="197" t="n">
        <v>42282.0</v>
      </c>
      <c r="BH152" s="198" t="n">
        <v>0.89</v>
      </c>
      <c r="BI152" s="199" t="inlineStr">
        <is>
          <t>Actual</t>
        </is>
      </c>
      <c r="BJ152" s="200" t="inlineStr">
        <is>
          <t/>
        </is>
      </c>
      <c r="BK152" s="201" t="inlineStr">
        <is>
          <t/>
        </is>
      </c>
      <c r="BL152" s="202" t="inlineStr">
        <is>
          <t>Seed Round</t>
        </is>
      </c>
      <c r="BM152" s="203" t="inlineStr">
        <is>
          <t>Seed</t>
        </is>
      </c>
      <c r="BN152" s="204" t="inlineStr">
        <is>
          <t/>
        </is>
      </c>
      <c r="BO152" s="205" t="inlineStr">
        <is>
          <t>Venture Capital</t>
        </is>
      </c>
      <c r="BP152" s="206" t="inlineStr">
        <is>
          <t/>
        </is>
      </c>
      <c r="BQ152" s="207" t="inlineStr">
        <is>
          <t/>
        </is>
      </c>
      <c r="BR152" s="208" t="inlineStr">
        <is>
          <t/>
        </is>
      </c>
      <c r="BS152" s="209" t="inlineStr">
        <is>
          <t>Completed</t>
        </is>
      </c>
      <c r="BT152" s="210" t="n">
        <v>43001.0</v>
      </c>
      <c r="BU152" s="211" t="n">
        <v>3.08</v>
      </c>
      <c r="BV152" s="212" t="inlineStr">
        <is>
          <t>Actual</t>
        </is>
      </c>
      <c r="BW152" s="213" t="inlineStr">
        <is>
          <t/>
        </is>
      </c>
      <c r="BX152" s="214" t="inlineStr">
        <is>
          <t/>
        </is>
      </c>
      <c r="BY152" s="215" t="inlineStr">
        <is>
          <t>Seed Round</t>
        </is>
      </c>
      <c r="BZ152" s="216" t="inlineStr">
        <is>
          <t>Seed</t>
        </is>
      </c>
      <c r="CA152" s="217" t="inlineStr">
        <is>
          <t/>
        </is>
      </c>
      <c r="CB152" s="218" t="inlineStr">
        <is>
          <t>Venture Capital</t>
        </is>
      </c>
      <c r="CC152" s="219" t="inlineStr">
        <is>
          <t/>
        </is>
      </c>
      <c r="CD152" s="220" t="inlineStr">
        <is>
          <t/>
        </is>
      </c>
      <c r="CE152" s="221" t="inlineStr">
        <is>
          <t/>
        </is>
      </c>
      <c r="CF152" s="222" t="inlineStr">
        <is>
          <t>Completed</t>
        </is>
      </c>
      <c r="CG152" s="223" t="inlineStr">
        <is>
          <t>-0,05%</t>
        </is>
      </c>
      <c r="CH152" s="224" t="inlineStr">
        <is>
          <t>27</t>
        </is>
      </c>
      <c r="CI152" s="225" t="inlineStr">
        <is>
          <t>0,00%</t>
        </is>
      </c>
      <c r="CJ152" s="226" t="inlineStr">
        <is>
          <t>0,00%</t>
        </is>
      </c>
      <c r="CK152" s="227" t="inlineStr">
        <is>
          <t>-0,05%</t>
        </is>
      </c>
      <c r="CL152" s="228" t="inlineStr">
        <is>
          <t>28</t>
        </is>
      </c>
      <c r="CM152" s="229" t="inlineStr">
        <is>
          <t/>
        </is>
      </c>
      <c r="CN152" s="230" t="inlineStr">
        <is>
          <t/>
        </is>
      </c>
      <c r="CO152" s="231" t="inlineStr">
        <is>
          <t>-0,11%</t>
        </is>
      </c>
      <c r="CP152" s="232" t="inlineStr">
        <is>
          <t>37</t>
        </is>
      </c>
      <c r="CQ152" s="233" t="inlineStr">
        <is>
          <t>0,00%</t>
        </is>
      </c>
      <c r="CR152" s="234" t="inlineStr">
        <is>
          <t>20</t>
        </is>
      </c>
      <c r="CS152" s="235" t="inlineStr">
        <is>
          <t/>
        </is>
      </c>
      <c r="CT152" s="236" t="inlineStr">
        <is>
          <t/>
        </is>
      </c>
      <c r="CU152" s="237" t="inlineStr">
        <is>
          <t/>
        </is>
      </c>
      <c r="CV152" s="238" t="inlineStr">
        <is>
          <t/>
        </is>
      </c>
      <c r="CW152" s="239" t="inlineStr">
        <is>
          <t>0,38x</t>
        </is>
      </c>
      <c r="CX152" s="240" t="inlineStr">
        <is>
          <t>27</t>
        </is>
      </c>
      <c r="CY152" s="241" t="inlineStr">
        <is>
          <t>0,00x</t>
        </is>
      </c>
      <c r="CZ152" s="242" t="inlineStr">
        <is>
          <t>0,00%</t>
        </is>
      </c>
      <c r="DA152" s="243" t="inlineStr">
        <is>
          <t>0,38x</t>
        </is>
      </c>
      <c r="DB152" s="244" t="inlineStr">
        <is>
          <t>29</t>
        </is>
      </c>
      <c r="DC152" s="245" t="inlineStr">
        <is>
          <t/>
        </is>
      </c>
      <c r="DD152" s="246" t="inlineStr">
        <is>
          <t/>
        </is>
      </c>
      <c r="DE152" s="247" t="inlineStr">
        <is>
          <t>0,18x</t>
        </is>
      </c>
      <c r="DF152" s="248" t="inlineStr">
        <is>
          <t>10</t>
        </is>
      </c>
      <c r="DG152" s="249" t="inlineStr">
        <is>
          <t>0,58x</t>
        </is>
      </c>
      <c r="DH152" s="250" t="inlineStr">
        <is>
          <t>39</t>
        </is>
      </c>
      <c r="DI152" s="251" t="inlineStr">
        <is>
          <t/>
        </is>
      </c>
      <c r="DJ152" s="252" t="inlineStr">
        <is>
          <t/>
        </is>
      </c>
      <c r="DK152" s="253" t="inlineStr">
        <is>
          <t/>
        </is>
      </c>
      <c r="DL152" s="254" t="inlineStr">
        <is>
          <t/>
        </is>
      </c>
      <c r="DM152" s="255" t="inlineStr">
        <is>
          <t>67</t>
        </is>
      </c>
      <c r="DN152" s="256" t="inlineStr">
        <is>
          <t>-8</t>
        </is>
      </c>
      <c r="DO152" s="257" t="inlineStr">
        <is>
          <t>-10,67%</t>
        </is>
      </c>
      <c r="DP152" s="258" t="inlineStr">
        <is>
          <t/>
        </is>
      </c>
      <c r="DQ152" s="259" t="inlineStr">
        <is>
          <t/>
        </is>
      </c>
      <c r="DR152" s="260" t="inlineStr">
        <is>
          <t/>
        </is>
      </c>
      <c r="DS152" s="261" t="inlineStr">
        <is>
          <t>21</t>
        </is>
      </c>
      <c r="DT152" s="262" t="inlineStr">
        <is>
          <t>0</t>
        </is>
      </c>
      <c r="DU152" s="263" t="inlineStr">
        <is>
          <t>0,00%</t>
        </is>
      </c>
      <c r="DV152" s="264" t="inlineStr">
        <is>
          <t/>
        </is>
      </c>
      <c r="DW152" s="265" t="inlineStr">
        <is>
          <t/>
        </is>
      </c>
      <c r="DX152" s="266" t="inlineStr">
        <is>
          <t/>
        </is>
      </c>
      <c r="DY152" s="267" t="inlineStr">
        <is>
          <t>PitchBook Research</t>
        </is>
      </c>
      <c r="DZ152" s="786">
        <f>HYPERLINK("https://my.pitchbook.com?c=153903-16", "View company online")</f>
      </c>
    </row>
    <row r="153">
      <c r="A153" s="9" t="inlineStr">
        <is>
          <t>162412-48</t>
        </is>
      </c>
      <c r="B153" s="10" t="inlineStr">
        <is>
          <t>Peak Business Insight</t>
        </is>
      </c>
      <c r="C153" s="11" t="inlineStr">
        <is>
          <t/>
        </is>
      </c>
      <c r="D153" s="12" t="inlineStr">
        <is>
          <t>Peak</t>
        </is>
      </c>
      <c r="E153" s="13" t="inlineStr">
        <is>
          <t>162412-48</t>
        </is>
      </c>
      <c r="F153" s="14" t="inlineStr">
        <is>
          <t>Provider of a data analytics-as-a-service platform designed to offer data and business intelligence services. The company's data analytics-as-a-service platform collects and analyzes internal, customer and financial data to generate better business decisions, enabling companies in the retail, tech, pharma and banking to grow their revenues and profits using their data and solve some of their most complex problems.</t>
        </is>
      </c>
      <c r="G153" s="15" t="inlineStr">
        <is>
          <t>Information Technology</t>
        </is>
      </c>
      <c r="H153" s="16" t="inlineStr">
        <is>
          <t>Software</t>
        </is>
      </c>
      <c r="I153" s="17" t="inlineStr">
        <is>
          <t>Business/Productivity Software</t>
        </is>
      </c>
      <c r="J153" s="18" t="inlineStr">
        <is>
          <t>Business/Productivity Software*; Other Commercial Services; Social/Platform Software</t>
        </is>
      </c>
      <c r="K153" s="19" t="inlineStr">
        <is>
          <t>SaaS</t>
        </is>
      </c>
      <c r="L153" s="20" t="inlineStr">
        <is>
          <t>Venture Capital-Backed</t>
        </is>
      </c>
      <c r="M153" s="21" t="n">
        <v>3.98</v>
      </c>
      <c r="N153" s="22" t="inlineStr">
        <is>
          <t>Profitable</t>
        </is>
      </c>
      <c r="O153" s="23" t="inlineStr">
        <is>
          <t>Privately Held (backing)</t>
        </is>
      </c>
      <c r="P153" s="24" t="inlineStr">
        <is>
          <t>Venture Capital</t>
        </is>
      </c>
      <c r="Q153" s="25" t="inlineStr">
        <is>
          <t>www.peak.bi</t>
        </is>
      </c>
      <c r="R153" s="26" t="n">
        <v>45.0</v>
      </c>
      <c r="S153" s="27" t="inlineStr">
        <is>
          <t/>
        </is>
      </c>
      <c r="T153" s="28" t="inlineStr">
        <is>
          <t/>
        </is>
      </c>
      <c r="U153" s="29" t="n">
        <v>2014.0</v>
      </c>
      <c r="V153" s="30" t="inlineStr">
        <is>
          <t/>
        </is>
      </c>
      <c r="W153" s="31" t="inlineStr">
        <is>
          <t/>
        </is>
      </c>
      <c r="X153" s="32" t="inlineStr">
        <is>
          <t/>
        </is>
      </c>
      <c r="Y153" s="33" t="n">
        <v>0.44584</v>
      </c>
      <c r="Z153" s="34" t="inlineStr">
        <is>
          <t/>
        </is>
      </c>
      <c r="AA153" s="35" t="inlineStr">
        <is>
          <t/>
        </is>
      </c>
      <c r="AB153" s="36" t="inlineStr">
        <is>
          <t/>
        </is>
      </c>
      <c r="AC153" s="37" t="inlineStr">
        <is>
          <t/>
        </is>
      </c>
      <c r="AD153" s="38" t="inlineStr">
        <is>
          <t>FY 2016</t>
        </is>
      </c>
      <c r="AE153" s="39" t="inlineStr">
        <is>
          <t>140510-80P</t>
        </is>
      </c>
      <c r="AF153" s="40" t="inlineStr">
        <is>
          <t>David Alexander Leitch</t>
        </is>
      </c>
      <c r="AG153" s="41" t="inlineStr">
        <is>
          <t>Co-Founder, Consultant &amp; Board Member</t>
        </is>
      </c>
      <c r="AH153" s="42" t="inlineStr">
        <is>
          <t>david@peak.bi</t>
        </is>
      </c>
      <c r="AI153" s="43" t="inlineStr">
        <is>
          <t/>
        </is>
      </c>
      <c r="AJ153" s="44" t="inlineStr">
        <is>
          <t>Manchester, United Kingdom</t>
        </is>
      </c>
      <c r="AK153" s="45" t="inlineStr">
        <is>
          <t>Jactin House, 24 Hood Street</t>
        </is>
      </c>
      <c r="AL153" s="46" t="inlineStr">
        <is>
          <t>Ancoats Urban Village</t>
        </is>
      </c>
      <c r="AM153" s="47" t="inlineStr">
        <is>
          <t>Manchester</t>
        </is>
      </c>
      <c r="AN153" s="48" t="inlineStr">
        <is>
          <t>England</t>
        </is>
      </c>
      <c r="AO153" s="49" t="inlineStr">
        <is>
          <t>M4 6WX</t>
        </is>
      </c>
      <c r="AP153" s="50" t="inlineStr">
        <is>
          <t>United Kingdom</t>
        </is>
      </c>
      <c r="AQ153" s="51" t="inlineStr">
        <is>
          <t/>
        </is>
      </c>
      <c r="AR153" s="52" t="inlineStr">
        <is>
          <t/>
        </is>
      </c>
      <c r="AS153" s="53" t="inlineStr">
        <is>
          <t>info@peak.bi</t>
        </is>
      </c>
      <c r="AT153" s="54" t="inlineStr">
        <is>
          <t>Europe</t>
        </is>
      </c>
      <c r="AU153" s="55" t="inlineStr">
        <is>
          <t>Western Europe</t>
        </is>
      </c>
      <c r="AV153" s="56" t="inlineStr">
        <is>
          <t>The company raised GBP 2.5 million of Series A venture funding in a deal led by MMC Ventures on September 11, 2017. The company, which has raised GBP 3.5 million in total funding intends to use the capital for ongoing investment in machine learning and AI technologies, further develop its technology and team, accelerating commercial growth and sales growth. The company GBP 1 million of seed funding from Praetura Capital and other undisclosed investors on July 10, 2016, putting the pre-money valuation at GBP 4 million. The funds will be used to expand its teams and its sales and marketing efforts, to commercialise its data analytics-as-a-service offering and to expand its operations; growing the internal team and opening development centres in both Manchester, UK, and Jaipur, India.</t>
        </is>
      </c>
      <c r="AW153" s="57" t="inlineStr">
        <is>
          <t>MMC Ventures, Praetura Capital</t>
        </is>
      </c>
      <c r="AX153" s="58" t="n">
        <v>2.0</v>
      </c>
      <c r="AY153" s="59" t="inlineStr">
        <is>
          <t/>
        </is>
      </c>
      <c r="AZ153" s="60" t="inlineStr">
        <is>
          <t/>
        </is>
      </c>
      <c r="BA153" s="61" t="inlineStr">
        <is>
          <t/>
        </is>
      </c>
      <c r="BB153" s="62" t="inlineStr">
        <is>
          <t>MMC Ventures (www.mmcventures.com)</t>
        </is>
      </c>
      <c r="BC153" s="63" t="inlineStr">
        <is>
          <t/>
        </is>
      </c>
      <c r="BD153" s="64" t="inlineStr">
        <is>
          <t/>
        </is>
      </c>
      <c r="BE153" s="65" t="inlineStr">
        <is>
          <t/>
        </is>
      </c>
      <c r="BF153" s="66" t="inlineStr">
        <is>
          <t/>
        </is>
      </c>
      <c r="BG153" s="67" t="n">
        <v>42561.0</v>
      </c>
      <c r="BH153" s="68" t="n">
        <v>1.19</v>
      </c>
      <c r="BI153" s="69" t="inlineStr">
        <is>
          <t>Actual</t>
        </is>
      </c>
      <c r="BJ153" s="70" t="n">
        <v>5.96</v>
      </c>
      <c r="BK153" s="71" t="inlineStr">
        <is>
          <t>Actual</t>
        </is>
      </c>
      <c r="BL153" s="72" t="inlineStr">
        <is>
          <t>Seed Round</t>
        </is>
      </c>
      <c r="BM153" s="73" t="inlineStr">
        <is>
          <t>Seed</t>
        </is>
      </c>
      <c r="BN153" s="74" t="inlineStr">
        <is>
          <t/>
        </is>
      </c>
      <c r="BO153" s="75" t="inlineStr">
        <is>
          <t>Individual</t>
        </is>
      </c>
      <c r="BP153" s="76" t="inlineStr">
        <is>
          <t/>
        </is>
      </c>
      <c r="BQ153" s="77" t="inlineStr">
        <is>
          <t/>
        </is>
      </c>
      <c r="BR153" s="78" t="inlineStr">
        <is>
          <t/>
        </is>
      </c>
      <c r="BS153" s="79" t="inlineStr">
        <is>
          <t>Completed</t>
        </is>
      </c>
      <c r="BT153" s="80" t="n">
        <v>42989.0</v>
      </c>
      <c r="BU153" s="81" t="n">
        <v>2.79</v>
      </c>
      <c r="BV153" s="82" t="inlineStr">
        <is>
          <t>Actual</t>
        </is>
      </c>
      <c r="BW153" s="83" t="inlineStr">
        <is>
          <t/>
        </is>
      </c>
      <c r="BX153" s="84" t="inlineStr">
        <is>
          <t/>
        </is>
      </c>
      <c r="BY153" s="85" t="inlineStr">
        <is>
          <t>Early Stage VC</t>
        </is>
      </c>
      <c r="BZ153" s="86" t="inlineStr">
        <is>
          <t>Series A</t>
        </is>
      </c>
      <c r="CA153" s="87" t="inlineStr">
        <is>
          <t/>
        </is>
      </c>
      <c r="CB153" s="88" t="inlineStr">
        <is>
          <t>Venture Capital</t>
        </is>
      </c>
      <c r="CC153" s="89" t="inlineStr">
        <is>
          <t/>
        </is>
      </c>
      <c r="CD153" s="90" t="inlineStr">
        <is>
          <t/>
        </is>
      </c>
      <c r="CE153" s="91" t="inlineStr">
        <is>
          <t/>
        </is>
      </c>
      <c r="CF153" s="92" t="inlineStr">
        <is>
          <t>Completed</t>
        </is>
      </c>
      <c r="CG153" s="93" t="inlineStr">
        <is>
          <t>1,86%</t>
        </is>
      </c>
      <c r="CH153" s="94" t="inlineStr">
        <is>
          <t>97</t>
        </is>
      </c>
      <c r="CI153" s="95" t="inlineStr">
        <is>
          <t>0,00%</t>
        </is>
      </c>
      <c r="CJ153" s="96" t="inlineStr">
        <is>
          <t>0,00%</t>
        </is>
      </c>
      <c r="CK153" s="97" t="inlineStr">
        <is>
          <t>0,00%</t>
        </is>
      </c>
      <c r="CL153" s="98" t="inlineStr">
        <is>
          <t>28</t>
        </is>
      </c>
      <c r="CM153" s="99" t="inlineStr">
        <is>
          <t>2,65%</t>
        </is>
      </c>
      <c r="CN153" s="100" t="inlineStr">
        <is>
          <t>99</t>
        </is>
      </c>
      <c r="CO153" s="101" t="inlineStr">
        <is>
          <t>0,00%</t>
        </is>
      </c>
      <c r="CP153" s="102" t="inlineStr">
        <is>
          <t>37</t>
        </is>
      </c>
      <c r="CQ153" s="103" t="inlineStr">
        <is>
          <t>0,00%</t>
        </is>
      </c>
      <c r="CR153" s="104" t="inlineStr">
        <is>
          <t>20</t>
        </is>
      </c>
      <c r="CS153" s="105" t="inlineStr">
        <is>
          <t/>
        </is>
      </c>
      <c r="CT153" s="106" t="inlineStr">
        <is>
          <t/>
        </is>
      </c>
      <c r="CU153" s="107" t="inlineStr">
        <is>
          <t>2,65%</t>
        </is>
      </c>
      <c r="CV153" s="108" t="inlineStr">
        <is>
          <t>100</t>
        </is>
      </c>
      <c r="CW153" s="109" t="inlineStr">
        <is>
          <t>0,82x</t>
        </is>
      </c>
      <c r="CX153" s="110" t="inlineStr">
        <is>
          <t>44</t>
        </is>
      </c>
      <c r="CY153" s="111" t="inlineStr">
        <is>
          <t>-0,01x</t>
        </is>
      </c>
      <c r="CZ153" s="112" t="inlineStr">
        <is>
          <t>-0,71%</t>
        </is>
      </c>
      <c r="DA153" s="113" t="inlineStr">
        <is>
          <t>0,68x</t>
        </is>
      </c>
      <c r="DB153" s="114" t="inlineStr">
        <is>
          <t>42</t>
        </is>
      </c>
      <c r="DC153" s="115" t="inlineStr">
        <is>
          <t>1,61x</t>
        </is>
      </c>
      <c r="DD153" s="116" t="inlineStr">
        <is>
          <t>58</t>
        </is>
      </c>
      <c r="DE153" s="117" t="inlineStr">
        <is>
          <t>0,16x</t>
        </is>
      </c>
      <c r="DF153" s="118" t="inlineStr">
        <is>
          <t>8</t>
        </is>
      </c>
      <c r="DG153" s="119" t="inlineStr">
        <is>
          <t>1,19x</t>
        </is>
      </c>
      <c r="DH153" s="120" t="inlineStr">
        <is>
          <t>54</t>
        </is>
      </c>
      <c r="DI153" s="121" t="inlineStr">
        <is>
          <t/>
        </is>
      </c>
      <c r="DJ153" s="122" t="inlineStr">
        <is>
          <t/>
        </is>
      </c>
      <c r="DK153" s="123" t="inlineStr">
        <is>
          <t>1,61x</t>
        </is>
      </c>
      <c r="DL153" s="124" t="inlineStr">
        <is>
          <t>60</t>
        </is>
      </c>
      <c r="DM153" s="125" t="inlineStr">
        <is>
          <t>62</t>
        </is>
      </c>
      <c r="DN153" s="126" t="inlineStr">
        <is>
          <t>-19</t>
        </is>
      </c>
      <c r="DO153" s="127" t="inlineStr">
        <is>
          <t>-23,46%</t>
        </is>
      </c>
      <c r="DP153" s="128" t="inlineStr">
        <is>
          <t/>
        </is>
      </c>
      <c r="DQ153" s="129" t="inlineStr">
        <is>
          <t/>
        </is>
      </c>
      <c r="DR153" s="130" t="inlineStr">
        <is>
          <t/>
        </is>
      </c>
      <c r="DS153" s="131" t="inlineStr">
        <is>
          <t>43</t>
        </is>
      </c>
      <c r="DT153" s="132" t="inlineStr">
        <is>
          <t>0</t>
        </is>
      </c>
      <c r="DU153" s="133" t="inlineStr">
        <is>
          <t>0,00%</t>
        </is>
      </c>
      <c r="DV153" s="134" t="inlineStr">
        <is>
          <t>599</t>
        </is>
      </c>
      <c r="DW153" s="135" t="inlineStr">
        <is>
          <t>17</t>
        </is>
      </c>
      <c r="DX153" s="136" t="inlineStr">
        <is>
          <t>2,92%</t>
        </is>
      </c>
      <c r="DY153" s="137" t="inlineStr">
        <is>
          <t>PitchBook Research</t>
        </is>
      </c>
      <c r="DZ153" s="785">
        <f>HYPERLINK("https://my.pitchbook.com?c=162412-48", "View company online")</f>
      </c>
    </row>
    <row r="154">
      <c r="A154" s="139" t="inlineStr">
        <is>
          <t>61925-59</t>
        </is>
      </c>
      <c r="B154" s="140" t="inlineStr">
        <is>
          <t>Scurri</t>
        </is>
      </c>
      <c r="C154" s="141" t="inlineStr">
        <is>
          <t/>
        </is>
      </c>
      <c r="D154" s="142" t="inlineStr">
        <is>
          <t/>
        </is>
      </c>
      <c r="E154" s="143" t="inlineStr">
        <is>
          <t>61925-59</t>
        </is>
      </c>
      <c r="F154" s="144" t="inlineStr">
        <is>
          <t>Developer of a delivery management platform intended to manage shipments. The company's delivery management platform provides a cloud-based software that integrates parcel carriers with e-commerce merchants' technical data to optimize online delivery, enabling businesses to keep track of deliveries across multiple carriers and channels efficiently.</t>
        </is>
      </c>
      <c r="G154" s="145" t="inlineStr">
        <is>
          <t>Information Technology</t>
        </is>
      </c>
      <c r="H154" s="146" t="inlineStr">
        <is>
          <t>Software</t>
        </is>
      </c>
      <c r="I154" s="147" t="inlineStr">
        <is>
          <t>Application Software</t>
        </is>
      </c>
      <c r="J154" s="148" t="inlineStr">
        <is>
          <t>Application Software*; Business/Productivity Software</t>
        </is>
      </c>
      <c r="K154" s="149" t="inlineStr">
        <is>
          <t>SaaS</t>
        </is>
      </c>
      <c r="L154" s="150" t="inlineStr">
        <is>
          <t>Venture Capital-Backed</t>
        </is>
      </c>
      <c r="M154" s="151" t="n">
        <v>4.0</v>
      </c>
      <c r="N154" s="152" t="inlineStr">
        <is>
          <t>Generating Revenue</t>
        </is>
      </c>
      <c r="O154" s="153" t="inlineStr">
        <is>
          <t>Privately Held (backing)</t>
        </is>
      </c>
      <c r="P154" s="154" t="inlineStr">
        <is>
          <t>Venture Capital</t>
        </is>
      </c>
      <c r="Q154" s="155" t="inlineStr">
        <is>
          <t>www.scurri.co.uk</t>
        </is>
      </c>
      <c r="R154" s="156" t="n">
        <v>18.0</v>
      </c>
      <c r="S154" s="157" t="inlineStr">
        <is>
          <t/>
        </is>
      </c>
      <c r="T154" s="158" t="inlineStr">
        <is>
          <t/>
        </is>
      </c>
      <c r="U154" s="159" t="n">
        <v>2010.0</v>
      </c>
      <c r="V154" s="160" t="inlineStr">
        <is>
          <t/>
        </is>
      </c>
      <c r="W154" s="161" t="inlineStr">
        <is>
          <t/>
        </is>
      </c>
      <c r="X154" s="162" t="inlineStr">
        <is>
          <t/>
        </is>
      </c>
      <c r="Y154" s="163" t="inlineStr">
        <is>
          <t/>
        </is>
      </c>
      <c r="Z154" s="164" t="inlineStr">
        <is>
          <t/>
        </is>
      </c>
      <c r="AA154" s="165" t="inlineStr">
        <is>
          <t/>
        </is>
      </c>
      <c r="AB154" s="166" t="inlineStr">
        <is>
          <t/>
        </is>
      </c>
      <c r="AC154" s="167" t="inlineStr">
        <is>
          <t/>
        </is>
      </c>
      <c r="AD154" s="168" t="inlineStr">
        <is>
          <t/>
        </is>
      </c>
      <c r="AE154" s="169" t="inlineStr">
        <is>
          <t>63054-55P</t>
        </is>
      </c>
      <c r="AF154" s="170" t="inlineStr">
        <is>
          <t>Rory O'Connor</t>
        </is>
      </c>
      <c r="AG154" s="171" t="inlineStr">
        <is>
          <t>Founder, Board Member &amp; Chief Executive Officer</t>
        </is>
      </c>
      <c r="AH154" s="172" t="inlineStr">
        <is>
          <t>roryoconnor@scurri.co.uk</t>
        </is>
      </c>
      <c r="AI154" s="173" t="inlineStr">
        <is>
          <t>+44 (0)20 3603 3123</t>
        </is>
      </c>
      <c r="AJ154" s="174" t="inlineStr">
        <is>
          <t>Wexford, Ireland</t>
        </is>
      </c>
      <c r="AK154" s="175" t="inlineStr">
        <is>
          <t>Common Quay Street</t>
        </is>
      </c>
      <c r="AL154" s="176" t="inlineStr">
        <is>
          <t/>
        </is>
      </c>
      <c r="AM154" s="177" t="inlineStr">
        <is>
          <t>Wexford</t>
        </is>
      </c>
      <c r="AN154" s="178" t="inlineStr">
        <is>
          <t/>
        </is>
      </c>
      <c r="AO154" s="179" t="inlineStr">
        <is>
          <t>Y35 EK88</t>
        </is>
      </c>
      <c r="AP154" s="180" t="inlineStr">
        <is>
          <t>Ireland</t>
        </is>
      </c>
      <c r="AQ154" s="181" t="inlineStr">
        <is>
          <t>+353 (0)51 596 044</t>
        </is>
      </c>
      <c r="AR154" s="182" t="inlineStr">
        <is>
          <t/>
        </is>
      </c>
      <c r="AS154" s="183" t="inlineStr">
        <is>
          <t>hello@scurri.co.uk</t>
        </is>
      </c>
      <c r="AT154" s="184" t="inlineStr">
        <is>
          <t>Europe</t>
        </is>
      </c>
      <c r="AU154" s="185" t="inlineStr">
        <is>
          <t>Western Europe</t>
        </is>
      </c>
      <c r="AV154" s="186" t="inlineStr">
        <is>
          <t>The company raised EUR 2.2 million of venture funding from ACT Venture Capital, Episode 1 Ventures and Enterprise Ireland on November 6, 2017. Pa Nolan also participated in this round. The company intends to use the funds to continue top expand operations with the recruitment of new people.</t>
        </is>
      </c>
      <c r="AW154" s="187" t="inlineStr">
        <is>
          <t>ACT Venture Capital, Bank of Ireland Accelerator, Enterprise Ireland, Episode 1 Ventures, Frederick Soneya, Haatch, Innovation Garden, Pa Nolan, Scott Weavers-Wright, SOSV</t>
        </is>
      </c>
      <c r="AX154" s="188" t="n">
        <v>10.0</v>
      </c>
      <c r="AY154" s="189" t="inlineStr">
        <is>
          <t/>
        </is>
      </c>
      <c r="AZ154" s="190" t="inlineStr">
        <is>
          <t/>
        </is>
      </c>
      <c r="BA154" s="191" t="inlineStr">
        <is>
          <t/>
        </is>
      </c>
      <c r="BB154" s="192" t="inlineStr">
        <is>
          <t>ACT Venture Capital (www.actventure.com), Enterprise Ireland (www.enterprise-ireland.com), Episode 1 Ventures (www.episode1.com), Frederick Soneya (www.haatch.com), Haatch (www.haatch.com), Innovation Garden (www.innovationgardennj.com), SOSV (www.sosv.com)</t>
        </is>
      </c>
      <c r="BC154" s="193" t="inlineStr">
        <is>
          <t/>
        </is>
      </c>
      <c r="BD154" s="194" t="inlineStr">
        <is>
          <t/>
        </is>
      </c>
      <c r="BE154" s="195" t="inlineStr">
        <is>
          <t/>
        </is>
      </c>
      <c r="BF154" s="196" t="inlineStr">
        <is>
          <t/>
        </is>
      </c>
      <c r="BG154" s="197" t="n">
        <v>40544.0</v>
      </c>
      <c r="BH154" s="198" t="inlineStr">
        <is>
          <t/>
        </is>
      </c>
      <c r="BI154" s="199" t="inlineStr">
        <is>
          <t/>
        </is>
      </c>
      <c r="BJ154" s="200" t="inlineStr">
        <is>
          <t/>
        </is>
      </c>
      <c r="BK154" s="201" t="inlineStr">
        <is>
          <t/>
        </is>
      </c>
      <c r="BL154" s="202" t="inlineStr">
        <is>
          <t>Accelerator/Incubator</t>
        </is>
      </c>
      <c r="BM154" s="203" t="inlineStr">
        <is>
          <t/>
        </is>
      </c>
      <c r="BN154" s="204" t="inlineStr">
        <is>
          <t/>
        </is>
      </c>
      <c r="BO154" s="205" t="inlineStr">
        <is>
          <t>Other</t>
        </is>
      </c>
      <c r="BP154" s="206" t="inlineStr">
        <is>
          <t/>
        </is>
      </c>
      <c r="BQ154" s="207" t="inlineStr">
        <is>
          <t/>
        </is>
      </c>
      <c r="BR154" s="208" t="inlineStr">
        <is>
          <t/>
        </is>
      </c>
      <c r="BS154" s="209" t="inlineStr">
        <is>
          <t>Completed</t>
        </is>
      </c>
      <c r="BT154" s="210" t="n">
        <v>43045.0</v>
      </c>
      <c r="BU154" s="211" t="n">
        <v>2.2</v>
      </c>
      <c r="BV154" s="212" t="inlineStr">
        <is>
          <t>Actual</t>
        </is>
      </c>
      <c r="BW154" s="213" t="inlineStr">
        <is>
          <t/>
        </is>
      </c>
      <c r="BX154" s="214" t="inlineStr">
        <is>
          <t/>
        </is>
      </c>
      <c r="BY154" s="215" t="inlineStr">
        <is>
          <t>Early Stage VC</t>
        </is>
      </c>
      <c r="BZ154" s="216" t="inlineStr">
        <is>
          <t/>
        </is>
      </c>
      <c r="CA154" s="217" t="inlineStr">
        <is>
          <t/>
        </is>
      </c>
      <c r="CB154" s="218" t="inlineStr">
        <is>
          <t>Venture Capital</t>
        </is>
      </c>
      <c r="CC154" s="219" t="inlineStr">
        <is>
          <t/>
        </is>
      </c>
      <c r="CD154" s="220" t="inlineStr">
        <is>
          <t/>
        </is>
      </c>
      <c r="CE154" s="221" t="inlineStr">
        <is>
          <t/>
        </is>
      </c>
      <c r="CF154" s="222" t="inlineStr">
        <is>
          <t>Completed</t>
        </is>
      </c>
      <c r="CG154" s="223" t="inlineStr">
        <is>
          <t>-2,49%</t>
        </is>
      </c>
      <c r="CH154" s="224" t="inlineStr">
        <is>
          <t>8</t>
        </is>
      </c>
      <c r="CI154" s="225" t="inlineStr">
        <is>
          <t>-0,10%</t>
        </is>
      </c>
      <c r="CJ154" s="226" t="inlineStr">
        <is>
          <t>-4,14%</t>
        </is>
      </c>
      <c r="CK154" s="227" t="inlineStr">
        <is>
          <t>-5,02%</t>
        </is>
      </c>
      <c r="CL154" s="228" t="inlineStr">
        <is>
          <t>8</t>
        </is>
      </c>
      <c r="CM154" s="229" t="inlineStr">
        <is>
          <t>0,04%</t>
        </is>
      </c>
      <c r="CN154" s="230" t="inlineStr">
        <is>
          <t>48</t>
        </is>
      </c>
      <c r="CO154" s="231" t="inlineStr">
        <is>
          <t>-8,82%</t>
        </is>
      </c>
      <c r="CP154" s="232" t="inlineStr">
        <is>
          <t>14</t>
        </is>
      </c>
      <c r="CQ154" s="233" t="inlineStr">
        <is>
          <t>-1,22%</t>
        </is>
      </c>
      <c r="CR154" s="234" t="inlineStr">
        <is>
          <t>7</t>
        </is>
      </c>
      <c r="CS154" s="235" t="inlineStr">
        <is>
          <t>-0,07%</t>
        </is>
      </c>
      <c r="CT154" s="236" t="inlineStr">
        <is>
          <t>5</t>
        </is>
      </c>
      <c r="CU154" s="237" t="inlineStr">
        <is>
          <t>0,14%</t>
        </is>
      </c>
      <c r="CV154" s="238" t="inlineStr">
        <is>
          <t>71</t>
        </is>
      </c>
      <c r="CW154" s="239" t="inlineStr">
        <is>
          <t>4,09x</t>
        </is>
      </c>
      <c r="CX154" s="240" t="inlineStr">
        <is>
          <t>77</t>
        </is>
      </c>
      <c r="CY154" s="241" t="inlineStr">
        <is>
          <t>-0,03x</t>
        </is>
      </c>
      <c r="CZ154" s="242" t="inlineStr">
        <is>
          <t>-0,82%</t>
        </is>
      </c>
      <c r="DA154" s="243" t="inlineStr">
        <is>
          <t>2,30x</t>
        </is>
      </c>
      <c r="DB154" s="244" t="inlineStr">
        <is>
          <t>69</t>
        </is>
      </c>
      <c r="DC154" s="245" t="inlineStr">
        <is>
          <t>5,89x</t>
        </is>
      </c>
      <c r="DD154" s="246" t="inlineStr">
        <is>
          <t>78</t>
        </is>
      </c>
      <c r="DE154" s="247" t="inlineStr">
        <is>
          <t>0,30x</t>
        </is>
      </c>
      <c r="DF154" s="248" t="inlineStr">
        <is>
          <t>22</t>
        </is>
      </c>
      <c r="DG154" s="249" t="inlineStr">
        <is>
          <t>4,31x</t>
        </is>
      </c>
      <c r="DH154" s="250" t="inlineStr">
        <is>
          <t>77</t>
        </is>
      </c>
      <c r="DI154" s="251" t="inlineStr">
        <is>
          <t>2,42x</t>
        </is>
      </c>
      <c r="DJ154" s="252" t="inlineStr">
        <is>
          <t>65</t>
        </is>
      </c>
      <c r="DK154" s="253" t="inlineStr">
        <is>
          <t>9,35x</t>
        </is>
      </c>
      <c r="DL154" s="254" t="inlineStr">
        <is>
          <t>86</t>
        </is>
      </c>
      <c r="DM154" s="255" t="inlineStr">
        <is>
          <t>335</t>
        </is>
      </c>
      <c r="DN154" s="256" t="inlineStr">
        <is>
          <t>-520</t>
        </is>
      </c>
      <c r="DO154" s="257" t="inlineStr">
        <is>
          <t>-60,82%</t>
        </is>
      </c>
      <c r="DP154" s="258" t="inlineStr">
        <is>
          <t>1.915</t>
        </is>
      </c>
      <c r="DQ154" s="259" t="inlineStr">
        <is>
          <t>-1</t>
        </is>
      </c>
      <c r="DR154" s="260" t="inlineStr">
        <is>
          <t>-0,05%</t>
        </is>
      </c>
      <c r="DS154" s="261" t="inlineStr">
        <is>
          <t>155</t>
        </is>
      </c>
      <c r="DT154" s="262" t="inlineStr">
        <is>
          <t>-3</t>
        </is>
      </c>
      <c r="DU154" s="263" t="inlineStr">
        <is>
          <t>-1,90%</t>
        </is>
      </c>
      <c r="DV154" s="264" t="inlineStr">
        <is>
          <t>3.492</t>
        </is>
      </c>
      <c r="DW154" s="265" t="inlineStr">
        <is>
          <t>12</t>
        </is>
      </c>
      <c r="DX154" s="266" t="inlineStr">
        <is>
          <t>0,34%</t>
        </is>
      </c>
      <c r="DY154" s="267" t="inlineStr">
        <is>
          <t>PitchBook Research</t>
        </is>
      </c>
      <c r="DZ154" s="786">
        <f>HYPERLINK("https://my.pitchbook.com?c=61925-59", "View company online")</f>
      </c>
    </row>
    <row r="155">
      <c r="A155" s="9" t="inlineStr">
        <is>
          <t>174892-24</t>
        </is>
      </c>
      <c r="B155" s="10" t="inlineStr">
        <is>
          <t>VanMoof</t>
        </is>
      </c>
      <c r="C155" s="11" t="inlineStr">
        <is>
          <t/>
        </is>
      </c>
      <c r="D155" s="12" t="inlineStr">
        <is>
          <t/>
        </is>
      </c>
      <c r="E155" s="13" t="inlineStr">
        <is>
          <t>174892-24</t>
        </is>
      </c>
      <c r="F155" s="14" t="inlineStr">
        <is>
          <t>Designer of robust urban bikes intended to reimagine bikes in the cities of tomorrow. The company robust urban bikes help modern city-dwellers get from one place to another faster, smarter and in style with different digital devices, enabling users to arrive at their destination faster.</t>
        </is>
      </c>
      <c r="G155" s="15" t="inlineStr">
        <is>
          <t>Consumer Products and Services (B2C)</t>
        </is>
      </c>
      <c r="H155" s="16" t="inlineStr">
        <is>
          <t>Retail</t>
        </is>
      </c>
      <c r="I155" s="17" t="inlineStr">
        <is>
          <t>Internet Retail</t>
        </is>
      </c>
      <c r="J155" s="18" t="inlineStr">
        <is>
          <t>Internet Retail*; Other Transportation</t>
        </is>
      </c>
      <c r="K155" s="19" t="inlineStr">
        <is>
          <t>E-Commerce, Manufacturing</t>
        </is>
      </c>
      <c r="L155" s="20" t="inlineStr">
        <is>
          <t>Venture Capital-Backed</t>
        </is>
      </c>
      <c r="M155" s="21" t="n">
        <v>4.0</v>
      </c>
      <c r="N155" s="22" t="inlineStr">
        <is>
          <t>Generating Revenue</t>
        </is>
      </c>
      <c r="O155" s="23" t="inlineStr">
        <is>
          <t>Privately Held (backing)</t>
        </is>
      </c>
      <c r="P155" s="24" t="inlineStr">
        <is>
          <t>Venture Capital</t>
        </is>
      </c>
      <c r="Q155" s="25" t="inlineStr">
        <is>
          <t>www.vanmoof.com</t>
        </is>
      </c>
      <c r="R155" s="26" t="inlineStr">
        <is>
          <t/>
        </is>
      </c>
      <c r="S155" s="27" t="inlineStr">
        <is>
          <t/>
        </is>
      </c>
      <c r="T155" s="28" t="inlineStr">
        <is>
          <t/>
        </is>
      </c>
      <c r="U155" s="29" t="n">
        <v>2009.0</v>
      </c>
      <c r="V155" s="30" t="inlineStr">
        <is>
          <t/>
        </is>
      </c>
      <c r="W155" s="31" t="inlineStr">
        <is>
          <t/>
        </is>
      </c>
      <c r="X155" s="32" t="inlineStr">
        <is>
          <t/>
        </is>
      </c>
      <c r="Y155" s="33" t="inlineStr">
        <is>
          <t/>
        </is>
      </c>
      <c r="Z155" s="34" t="inlineStr">
        <is>
          <t/>
        </is>
      </c>
      <c r="AA155" s="35" t="inlineStr">
        <is>
          <t/>
        </is>
      </c>
      <c r="AB155" s="36" t="inlineStr">
        <is>
          <t/>
        </is>
      </c>
      <c r="AC155" s="37" t="inlineStr">
        <is>
          <t/>
        </is>
      </c>
      <c r="AD155" s="38" t="inlineStr">
        <is>
          <t/>
        </is>
      </c>
      <c r="AE155" s="39" t="inlineStr">
        <is>
          <t>171914-68P</t>
        </is>
      </c>
      <c r="AF155" s="40" t="inlineStr">
        <is>
          <t>Taco Carlier</t>
        </is>
      </c>
      <c r="AG155" s="41" t="inlineStr">
        <is>
          <t>Co-Founder &amp; Chief Executive Officer</t>
        </is>
      </c>
      <c r="AH155" s="42" t="inlineStr">
        <is>
          <t>taco.carlier@vanmoof.com</t>
        </is>
      </c>
      <c r="AI155" s="43" t="inlineStr">
        <is>
          <t>+31 (0)20 330 7401</t>
        </is>
      </c>
      <c r="AJ155" s="44" t="inlineStr">
        <is>
          <t>Amsterdam, Netherlands</t>
        </is>
      </c>
      <c r="AK155" s="45" t="inlineStr">
        <is>
          <t>Mauritskade 55</t>
        </is>
      </c>
      <c r="AL155" s="46" t="inlineStr">
        <is>
          <t/>
        </is>
      </c>
      <c r="AM155" s="47" t="inlineStr">
        <is>
          <t>Amsterdam</t>
        </is>
      </c>
      <c r="AN155" s="48" t="inlineStr">
        <is>
          <t/>
        </is>
      </c>
      <c r="AO155" s="49" t="inlineStr">
        <is>
          <t>1092 AD</t>
        </is>
      </c>
      <c r="AP155" s="50" t="inlineStr">
        <is>
          <t>Netherlands</t>
        </is>
      </c>
      <c r="AQ155" s="51" t="inlineStr">
        <is>
          <t>+31 (0)20 330 7401</t>
        </is>
      </c>
      <c r="AR155" s="52" t="inlineStr">
        <is>
          <t/>
        </is>
      </c>
      <c r="AS155" s="53" t="inlineStr">
        <is>
          <t/>
        </is>
      </c>
      <c r="AT155" s="54" t="inlineStr">
        <is>
          <t>Europe</t>
        </is>
      </c>
      <c r="AU155" s="55" t="inlineStr">
        <is>
          <t>Western Europe</t>
        </is>
      </c>
      <c r="AV155" s="56" t="inlineStr">
        <is>
          <t>The company raised EUR 1.03 million of a planned EUR 1 million product crowdfunding via OnePlanetCrowd on October 10, 2017. Earlier, the company raised EUR 4 million of venture funding from Slingshot Venture Capital on October 2, 2017. The company is being actively tracked by PitchBook.</t>
        </is>
      </c>
      <c r="AW155" s="57" t="inlineStr">
        <is>
          <t>Slingshot Venture Capital</t>
        </is>
      </c>
      <c r="AX155" s="58" t="n">
        <v>1.0</v>
      </c>
      <c r="AY155" s="59" t="inlineStr">
        <is>
          <t/>
        </is>
      </c>
      <c r="AZ155" s="60" t="inlineStr">
        <is>
          <t/>
        </is>
      </c>
      <c r="BA155" s="61" t="inlineStr">
        <is>
          <t/>
        </is>
      </c>
      <c r="BB155" s="62" t="inlineStr">
        <is>
          <t>Slingshot Venture Capital (www.slingshot.capital)</t>
        </is>
      </c>
      <c r="BC155" s="63" t="inlineStr">
        <is>
          <t/>
        </is>
      </c>
      <c r="BD155" s="64" t="inlineStr">
        <is>
          <t/>
        </is>
      </c>
      <c r="BE155" s="65" t="inlineStr">
        <is>
          <t/>
        </is>
      </c>
      <c r="BF155" s="66" t="inlineStr">
        <is>
          <t>OnePlanetCrowd (Lead Manager or Arranger), Florent (Legal Advisor), Het Participatie Huis (Advisor: General), Kickstarter (Lead Manager or Arranger)</t>
        </is>
      </c>
      <c r="BG155" s="67" t="n">
        <v>42370.0</v>
      </c>
      <c r="BH155" s="68" t="inlineStr">
        <is>
          <t/>
        </is>
      </c>
      <c r="BI155" s="69" t="inlineStr">
        <is>
          <t/>
        </is>
      </c>
      <c r="BJ155" s="70" t="inlineStr">
        <is>
          <t/>
        </is>
      </c>
      <c r="BK155" s="71" t="inlineStr">
        <is>
          <t/>
        </is>
      </c>
      <c r="BL155" s="72" t="inlineStr">
        <is>
          <t>Accelerator/Incubator</t>
        </is>
      </c>
      <c r="BM155" s="73" t="inlineStr">
        <is>
          <t/>
        </is>
      </c>
      <c r="BN155" s="74" t="inlineStr">
        <is>
          <t/>
        </is>
      </c>
      <c r="BO155" s="75" t="inlineStr">
        <is>
          <t>Other</t>
        </is>
      </c>
      <c r="BP155" s="76" t="inlineStr">
        <is>
          <t/>
        </is>
      </c>
      <c r="BQ155" s="77" t="inlineStr">
        <is>
          <t/>
        </is>
      </c>
      <c r="BR155" s="78" t="inlineStr">
        <is>
          <t/>
        </is>
      </c>
      <c r="BS155" s="79" t="inlineStr">
        <is>
          <t>Completed</t>
        </is>
      </c>
      <c r="BT155" s="80" t="n">
        <v>43018.0</v>
      </c>
      <c r="BU155" s="81" t="n">
        <v>1.03</v>
      </c>
      <c r="BV155" s="82" t="inlineStr">
        <is>
          <t>Actual</t>
        </is>
      </c>
      <c r="BW155" s="83" t="inlineStr">
        <is>
          <t/>
        </is>
      </c>
      <c r="BX155" s="84" t="inlineStr">
        <is>
          <t/>
        </is>
      </c>
      <c r="BY155" s="85" t="inlineStr">
        <is>
          <t>Product Crowdfunding</t>
        </is>
      </c>
      <c r="BZ155" s="86" t="inlineStr">
        <is>
          <t/>
        </is>
      </c>
      <c r="CA155" s="87" t="inlineStr">
        <is>
          <t/>
        </is>
      </c>
      <c r="CB155" s="88" t="inlineStr">
        <is>
          <t>Individual</t>
        </is>
      </c>
      <c r="CC155" s="89" t="inlineStr">
        <is>
          <t/>
        </is>
      </c>
      <c r="CD155" s="90" t="inlineStr">
        <is>
          <t/>
        </is>
      </c>
      <c r="CE155" s="91" t="inlineStr">
        <is>
          <t/>
        </is>
      </c>
      <c r="CF155" s="92" t="inlineStr">
        <is>
          <t>Announced/In Progress</t>
        </is>
      </c>
      <c r="CG155" s="93" t="inlineStr">
        <is>
          <t>-4,77%</t>
        </is>
      </c>
      <c r="CH155" s="94" t="inlineStr">
        <is>
          <t>4</t>
        </is>
      </c>
      <c r="CI155" s="95" t="inlineStr">
        <is>
          <t>-0,05%</t>
        </is>
      </c>
      <c r="CJ155" s="96" t="inlineStr">
        <is>
          <t>-1,03%</t>
        </is>
      </c>
      <c r="CK155" s="97" t="inlineStr">
        <is>
          <t>-9,91%</t>
        </is>
      </c>
      <c r="CL155" s="98" t="inlineStr">
        <is>
          <t>3</t>
        </is>
      </c>
      <c r="CM155" s="99" t="inlineStr">
        <is>
          <t>0,37%</t>
        </is>
      </c>
      <c r="CN155" s="100" t="inlineStr">
        <is>
          <t>84</t>
        </is>
      </c>
      <c r="CO155" s="101" t="inlineStr">
        <is>
          <t>-19,36%</t>
        </is>
      </c>
      <c r="CP155" s="102" t="inlineStr">
        <is>
          <t>6</t>
        </is>
      </c>
      <c r="CQ155" s="103" t="inlineStr">
        <is>
          <t>-0,46%</t>
        </is>
      </c>
      <c r="CR155" s="104" t="inlineStr">
        <is>
          <t>16</t>
        </is>
      </c>
      <c r="CS155" s="105" t="inlineStr">
        <is>
          <t>0,50%</t>
        </is>
      </c>
      <c r="CT155" s="106" t="inlineStr">
        <is>
          <t>87</t>
        </is>
      </c>
      <c r="CU155" s="107" t="inlineStr">
        <is>
          <t>0,24%</t>
        </is>
      </c>
      <c r="CV155" s="108" t="inlineStr">
        <is>
          <t>79</t>
        </is>
      </c>
      <c r="CW155" s="109" t="inlineStr">
        <is>
          <t>26,18x</t>
        </is>
      </c>
      <c r="CX155" s="110" t="inlineStr">
        <is>
          <t>94</t>
        </is>
      </c>
      <c r="CY155" s="111" t="inlineStr">
        <is>
          <t>-0,38x</t>
        </is>
      </c>
      <c r="CZ155" s="112" t="inlineStr">
        <is>
          <t>-1,44%</t>
        </is>
      </c>
      <c r="DA155" s="113" t="inlineStr">
        <is>
          <t>23,01x</t>
        </is>
      </c>
      <c r="DB155" s="114" t="inlineStr">
        <is>
          <t>95</t>
        </is>
      </c>
      <c r="DC155" s="115" t="inlineStr">
        <is>
          <t>29,35x</t>
        </is>
      </c>
      <c r="DD155" s="116" t="inlineStr">
        <is>
          <t>92</t>
        </is>
      </c>
      <c r="DE155" s="117" t="inlineStr">
        <is>
          <t>15,11x</t>
        </is>
      </c>
      <c r="DF155" s="118" t="inlineStr">
        <is>
          <t>91</t>
        </is>
      </c>
      <c r="DG155" s="119" t="inlineStr">
        <is>
          <t>30,92x</t>
        </is>
      </c>
      <c r="DH155" s="120" t="inlineStr">
        <is>
          <t>95</t>
        </is>
      </c>
      <c r="DI155" s="121" t="inlineStr">
        <is>
          <t>44,57x</t>
        </is>
      </c>
      <c r="DJ155" s="122" t="inlineStr">
        <is>
          <t>92</t>
        </is>
      </c>
      <c r="DK155" s="123" t="inlineStr">
        <is>
          <t>14,13x</t>
        </is>
      </c>
      <c r="DL155" s="124" t="inlineStr">
        <is>
          <t>90</t>
        </is>
      </c>
      <c r="DM155" s="125" t="inlineStr">
        <is>
          <t>5.594</t>
        </is>
      </c>
      <c r="DN155" s="126" t="inlineStr">
        <is>
          <t>57</t>
        </is>
      </c>
      <c r="DO155" s="127" t="inlineStr">
        <is>
          <t>1,03%</t>
        </is>
      </c>
      <c r="DP155" s="128" t="inlineStr">
        <is>
          <t>35.261</t>
        </is>
      </c>
      <c r="DQ155" s="129" t="inlineStr">
        <is>
          <t>105</t>
        </is>
      </c>
      <c r="DR155" s="130" t="inlineStr">
        <is>
          <t>0,30%</t>
        </is>
      </c>
      <c r="DS155" s="131" t="inlineStr">
        <is>
          <t>1.131</t>
        </is>
      </c>
      <c r="DT155" s="132" t="inlineStr">
        <is>
          <t>-25</t>
        </is>
      </c>
      <c r="DU155" s="133" t="inlineStr">
        <is>
          <t>-2,16%</t>
        </is>
      </c>
      <c r="DV155" s="134" t="inlineStr">
        <is>
          <t>5.280</t>
        </is>
      </c>
      <c r="DW155" s="135" t="inlineStr">
        <is>
          <t>6</t>
        </is>
      </c>
      <c r="DX155" s="136" t="inlineStr">
        <is>
          <t>0,11%</t>
        </is>
      </c>
      <c r="DY155" s="137" t="inlineStr">
        <is>
          <t>PitchBook Research</t>
        </is>
      </c>
      <c r="DZ155" s="785">
        <f>HYPERLINK("https://my.pitchbook.com?c=174892-24", "View company online")</f>
      </c>
    </row>
    <row r="156">
      <c r="A156" s="139" t="inlineStr">
        <is>
          <t>184553-65</t>
        </is>
      </c>
      <c r="B156" s="140" t="inlineStr">
        <is>
          <t>Enertor</t>
        </is>
      </c>
      <c r="C156" s="141" t="inlineStr">
        <is>
          <t/>
        </is>
      </c>
      <c r="D156" s="142" t="inlineStr">
        <is>
          <t/>
        </is>
      </c>
      <c r="E156" s="143" t="inlineStr">
        <is>
          <t>184553-65</t>
        </is>
      </c>
      <c r="F156" s="144" t="inlineStr">
        <is>
          <t>Provider of shoe insoles designed to reduce foot pain and injuries while engaged in sports activities. The company's shoe insoles utilize D3O technology that is scientifically proven to improve performance, comfort and reduce the risk of injury by absorbing shocks and sudden jerks and maintains body balance while running, enabling sports players to reduce slipping off or face accidental cramps while running, thereby improving speed and performance.</t>
        </is>
      </c>
      <c r="G156" s="145" t="inlineStr">
        <is>
          <t>Consumer Products and Services (B2C)</t>
        </is>
      </c>
      <c r="H156" s="146" t="inlineStr">
        <is>
          <t>Apparel and Accessories</t>
        </is>
      </c>
      <c r="I156" s="147" t="inlineStr">
        <is>
          <t>Footwear</t>
        </is>
      </c>
      <c r="J156" s="148" t="inlineStr">
        <is>
          <t>Footwear*; Other Consumer Durables; Internet Retail</t>
        </is>
      </c>
      <c r="K156" s="149" t="inlineStr">
        <is>
          <t>E-Commerce</t>
        </is>
      </c>
      <c r="L156" s="150" t="inlineStr">
        <is>
          <t>Private Equity-Backed</t>
        </is>
      </c>
      <c r="M156" s="151" t="n">
        <v>4.0</v>
      </c>
      <c r="N156" s="152" t="inlineStr">
        <is>
          <t>Profitable</t>
        </is>
      </c>
      <c r="O156" s="153" t="inlineStr">
        <is>
          <t>Privately Held (backing)</t>
        </is>
      </c>
      <c r="P156" s="154" t="inlineStr">
        <is>
          <t>Private Equity</t>
        </is>
      </c>
      <c r="Q156" s="155" t="inlineStr">
        <is>
          <t>www.enertor.com</t>
        </is>
      </c>
      <c r="R156" s="156" t="n">
        <v>29.0</v>
      </c>
      <c r="S156" s="157" t="inlineStr">
        <is>
          <t/>
        </is>
      </c>
      <c r="T156" s="158" t="inlineStr">
        <is>
          <t/>
        </is>
      </c>
      <c r="U156" s="159" t="n">
        <v>1998.0</v>
      </c>
      <c r="V156" s="160" t="inlineStr">
        <is>
          <t/>
        </is>
      </c>
      <c r="W156" s="161" t="inlineStr">
        <is>
          <t/>
        </is>
      </c>
      <c r="X156" s="162" t="inlineStr">
        <is>
          <t/>
        </is>
      </c>
      <c r="Y156" s="163" t="n">
        <v>4.3543</v>
      </c>
      <c r="Z156" s="164" t="inlineStr">
        <is>
          <t/>
        </is>
      </c>
      <c r="AA156" s="165" t="inlineStr">
        <is>
          <t/>
        </is>
      </c>
      <c r="AB156" s="166" t="inlineStr">
        <is>
          <t/>
        </is>
      </c>
      <c r="AC156" s="167" t="inlineStr">
        <is>
          <t/>
        </is>
      </c>
      <c r="AD156" s="168" t="inlineStr">
        <is>
          <t>FY 2018</t>
        </is>
      </c>
      <c r="AE156" s="169" t="inlineStr">
        <is>
          <t>168643-45P</t>
        </is>
      </c>
      <c r="AF156" s="170" t="inlineStr">
        <is>
          <t>Nick Beresford</t>
        </is>
      </c>
      <c r="AG156" s="171" t="inlineStr">
        <is>
          <t>Co-Founder &amp; Chief Executive Officer</t>
        </is>
      </c>
      <c r="AH156" s="172" t="inlineStr">
        <is>
          <t/>
        </is>
      </c>
      <c r="AI156" s="173" t="inlineStr">
        <is>
          <t/>
        </is>
      </c>
      <c r="AJ156" s="174" t="inlineStr">
        <is>
          <t>Great Blakenham, United Kingdom</t>
        </is>
      </c>
      <c r="AK156" s="175" t="inlineStr">
        <is>
          <t>14 Pegasus Orion Avenue</t>
        </is>
      </c>
      <c r="AL156" s="176" t="inlineStr">
        <is>
          <t>Ipswich</t>
        </is>
      </c>
      <c r="AM156" s="177" t="inlineStr">
        <is>
          <t>Great Blakenham</t>
        </is>
      </c>
      <c r="AN156" s="178" t="inlineStr">
        <is>
          <t>England</t>
        </is>
      </c>
      <c r="AO156" s="179" t="inlineStr">
        <is>
          <t>IP6 0LW</t>
        </is>
      </c>
      <c r="AP156" s="180" t="inlineStr">
        <is>
          <t>United Kingdom</t>
        </is>
      </c>
      <c r="AQ156" s="181" t="inlineStr">
        <is>
          <t/>
        </is>
      </c>
      <c r="AR156" s="182" t="inlineStr">
        <is>
          <t/>
        </is>
      </c>
      <c r="AS156" s="183" t="inlineStr">
        <is>
          <t>info@enertor.com</t>
        </is>
      </c>
      <c r="AT156" s="184" t="inlineStr">
        <is>
          <t>Europe</t>
        </is>
      </c>
      <c r="AU156" s="185" t="inlineStr">
        <is>
          <t>Western Europe</t>
        </is>
      </c>
      <c r="AV156" s="186" t="inlineStr">
        <is>
          <t>The company raised GBP 1.03 milion of angel funding via Crowdcube on September 15, 2017, putting the company's pre-money valuation at GBP 10 million. The funding will be used to buy stock and for the marketing associated with retail launches.</t>
        </is>
      </c>
      <c r="AW156" s="187" t="inlineStr">
        <is>
          <t>Provenance Investment Partners</t>
        </is>
      </c>
      <c r="AX156" s="188" t="n">
        <v>1.0</v>
      </c>
      <c r="AY156" s="189" t="inlineStr">
        <is>
          <t/>
        </is>
      </c>
      <c r="AZ156" s="190" t="inlineStr">
        <is>
          <t/>
        </is>
      </c>
      <c r="BA156" s="191" t="inlineStr">
        <is>
          <t/>
        </is>
      </c>
      <c r="BB156" s="192" t="inlineStr">
        <is>
          <t/>
        </is>
      </c>
      <c r="BC156" s="193" t="inlineStr">
        <is>
          <t/>
        </is>
      </c>
      <c r="BD156" s="194" t="inlineStr">
        <is>
          <t/>
        </is>
      </c>
      <c r="BE156" s="195" t="inlineStr">
        <is>
          <t/>
        </is>
      </c>
      <c r="BF156" s="196" t="inlineStr">
        <is>
          <t>Crowdcube (Lead Manager or Arranger)</t>
        </is>
      </c>
      <c r="BG156" s="197" t="n">
        <v>42370.0</v>
      </c>
      <c r="BH156" s="198" t="n">
        <v>2.85</v>
      </c>
      <c r="BI156" s="199" t="inlineStr">
        <is>
          <t>Actual</t>
        </is>
      </c>
      <c r="BJ156" s="200" t="n">
        <v>13.28</v>
      </c>
      <c r="BK156" s="201" t="inlineStr">
        <is>
          <t>Actual</t>
        </is>
      </c>
      <c r="BL156" s="202" t="inlineStr">
        <is>
          <t>PE Growth/Expansion</t>
        </is>
      </c>
      <c r="BM156" s="203" t="inlineStr">
        <is>
          <t/>
        </is>
      </c>
      <c r="BN156" s="204" t="inlineStr">
        <is>
          <t/>
        </is>
      </c>
      <c r="BO156" s="205" t="inlineStr">
        <is>
          <t>Private Equity</t>
        </is>
      </c>
      <c r="BP156" s="206" t="inlineStr">
        <is>
          <t/>
        </is>
      </c>
      <c r="BQ156" s="207" t="inlineStr">
        <is>
          <t/>
        </is>
      </c>
      <c r="BR156" s="208" t="inlineStr">
        <is>
          <t/>
        </is>
      </c>
      <c r="BS156" s="209" t="inlineStr">
        <is>
          <t>Completed</t>
        </is>
      </c>
      <c r="BT156" s="210" t="n">
        <v>42993.0</v>
      </c>
      <c r="BU156" s="211" t="n">
        <v>1.15</v>
      </c>
      <c r="BV156" s="212" t="inlineStr">
        <is>
          <t>Actual</t>
        </is>
      </c>
      <c r="BW156" s="213" t="n">
        <v>12.3</v>
      </c>
      <c r="BX156" s="214" t="inlineStr">
        <is>
          <t>Estimated</t>
        </is>
      </c>
      <c r="BY156" s="215" t="inlineStr">
        <is>
          <t>Angel (individual)</t>
        </is>
      </c>
      <c r="BZ156" s="216" t="inlineStr">
        <is>
          <t>Angel</t>
        </is>
      </c>
      <c r="CA156" s="217" t="inlineStr">
        <is>
          <t/>
        </is>
      </c>
      <c r="CB156" s="218" t="inlineStr">
        <is>
          <t>Individual</t>
        </is>
      </c>
      <c r="CC156" s="219" t="inlineStr">
        <is>
          <t/>
        </is>
      </c>
      <c r="CD156" s="220" t="inlineStr">
        <is>
          <t/>
        </is>
      </c>
      <c r="CE156" s="221" t="inlineStr">
        <is>
          <t/>
        </is>
      </c>
      <c r="CF156" s="222" t="inlineStr">
        <is>
          <t>Completed</t>
        </is>
      </c>
      <c r="CG156" s="223" t="inlineStr">
        <is>
          <t>0,14%</t>
        </is>
      </c>
      <c r="CH156" s="224" t="inlineStr">
        <is>
          <t>84</t>
        </is>
      </c>
      <c r="CI156" s="225" t="inlineStr">
        <is>
          <t>0,01%</t>
        </is>
      </c>
      <c r="CJ156" s="226" t="inlineStr">
        <is>
          <t>10,90%</t>
        </is>
      </c>
      <c r="CK156" s="227" t="inlineStr">
        <is>
          <t>0,00%</t>
        </is>
      </c>
      <c r="CL156" s="228" t="inlineStr">
        <is>
          <t>28</t>
        </is>
      </c>
      <c r="CM156" s="229" t="inlineStr">
        <is>
          <t>0,28%</t>
        </is>
      </c>
      <c r="CN156" s="230" t="inlineStr">
        <is>
          <t>78</t>
        </is>
      </c>
      <c r="CO156" s="231" t="inlineStr">
        <is>
          <t/>
        </is>
      </c>
      <c r="CP156" s="232" t="inlineStr">
        <is>
          <t/>
        </is>
      </c>
      <c r="CQ156" s="233" t="inlineStr">
        <is>
          <t>0,00%</t>
        </is>
      </c>
      <c r="CR156" s="234" t="inlineStr">
        <is>
          <t>20</t>
        </is>
      </c>
      <c r="CS156" s="235" t="inlineStr">
        <is>
          <t>0,03%</t>
        </is>
      </c>
      <c r="CT156" s="236" t="inlineStr">
        <is>
          <t>44</t>
        </is>
      </c>
      <c r="CU156" s="237" t="inlineStr">
        <is>
          <t>0,53%</t>
        </is>
      </c>
      <c r="CV156" s="238" t="inlineStr">
        <is>
          <t>92</t>
        </is>
      </c>
      <c r="CW156" s="239" t="inlineStr">
        <is>
          <t>6,49x</t>
        </is>
      </c>
      <c r="CX156" s="240" t="inlineStr">
        <is>
          <t>83</t>
        </is>
      </c>
      <c r="CY156" s="241" t="inlineStr">
        <is>
          <t>-0,03x</t>
        </is>
      </c>
      <c r="CZ156" s="242" t="inlineStr">
        <is>
          <t>-0,49%</t>
        </is>
      </c>
      <c r="DA156" s="243" t="inlineStr">
        <is>
          <t>1,81x</t>
        </is>
      </c>
      <c r="DB156" s="244" t="inlineStr">
        <is>
          <t>65</t>
        </is>
      </c>
      <c r="DC156" s="245" t="inlineStr">
        <is>
          <t>11,17x</t>
        </is>
      </c>
      <c r="DD156" s="246" t="inlineStr">
        <is>
          <t>85</t>
        </is>
      </c>
      <c r="DE156" s="247" t="inlineStr">
        <is>
          <t/>
        </is>
      </c>
      <c r="DF156" s="248" t="inlineStr">
        <is>
          <t/>
        </is>
      </c>
      <c r="DG156" s="249" t="inlineStr">
        <is>
          <t>1,81x</t>
        </is>
      </c>
      <c r="DH156" s="250" t="inlineStr">
        <is>
          <t>63</t>
        </is>
      </c>
      <c r="DI156" s="251" t="inlineStr">
        <is>
          <t>15,68x</t>
        </is>
      </c>
      <c r="DJ156" s="252" t="inlineStr">
        <is>
          <t>85</t>
        </is>
      </c>
      <c r="DK156" s="253" t="inlineStr">
        <is>
          <t>6,66x</t>
        </is>
      </c>
      <c r="DL156" s="254" t="inlineStr">
        <is>
          <t>83</t>
        </is>
      </c>
      <c r="DM156" s="255" t="inlineStr">
        <is>
          <t/>
        </is>
      </c>
      <c r="DN156" s="256" t="inlineStr">
        <is>
          <t/>
        </is>
      </c>
      <c r="DO156" s="257" t="inlineStr">
        <is>
          <t/>
        </is>
      </c>
      <c r="DP156" s="258" t="inlineStr">
        <is>
          <t>12.412</t>
        </is>
      </c>
      <c r="DQ156" s="259" t="inlineStr">
        <is>
          <t>-4</t>
        </is>
      </c>
      <c r="DR156" s="260" t="inlineStr">
        <is>
          <t>-0,03%</t>
        </is>
      </c>
      <c r="DS156" s="261" t="inlineStr">
        <is>
          <t>65</t>
        </is>
      </c>
      <c r="DT156" s="262" t="inlineStr">
        <is>
          <t>0</t>
        </is>
      </c>
      <c r="DU156" s="263" t="inlineStr">
        <is>
          <t>0,00%</t>
        </is>
      </c>
      <c r="DV156" s="264" t="inlineStr">
        <is>
          <t>2.476</t>
        </is>
      </c>
      <c r="DW156" s="265" t="inlineStr">
        <is>
          <t>19</t>
        </is>
      </c>
      <c r="DX156" s="266" t="inlineStr">
        <is>
          <t>0,77%</t>
        </is>
      </c>
      <c r="DY156" s="267" t="inlineStr">
        <is>
          <t>PitchBook Research</t>
        </is>
      </c>
      <c r="DZ156" s="786">
        <f>HYPERLINK("https://my.pitchbook.com?c=184553-65", "View company online")</f>
      </c>
    </row>
    <row r="157">
      <c r="A157" s="9" t="inlineStr">
        <is>
          <t>185162-95</t>
        </is>
      </c>
      <c r="B157" s="10" t="inlineStr">
        <is>
          <t>ZOLAR</t>
        </is>
      </c>
      <c r="C157" s="11" t="inlineStr">
        <is>
          <t/>
        </is>
      </c>
      <c r="D157" s="12" t="inlineStr">
        <is>
          <t/>
        </is>
      </c>
      <c r="E157" s="13" t="inlineStr">
        <is>
          <t>185162-95</t>
        </is>
      </c>
      <c r="F157" s="14" t="inlineStr">
        <is>
          <t>Developer of a solar system discovery platform designed to help homeowners become energy independent. The company's energy discovery platform offers a marketplace that connects homeowners with manufacturers, enabling homeowners to easily configure, choose and buy customized solar and battery systems.</t>
        </is>
      </c>
      <c r="G157" s="15" t="inlineStr">
        <is>
          <t>Energy</t>
        </is>
      </c>
      <c r="H157" s="16" t="inlineStr">
        <is>
          <t>Energy Equipment</t>
        </is>
      </c>
      <c r="I157" s="17" t="inlineStr">
        <is>
          <t>Alternative Energy Equipment</t>
        </is>
      </c>
      <c r="J157" s="18" t="inlineStr">
        <is>
          <t>Alternative Energy Equipment*; Other Energy; Social/Platform Software</t>
        </is>
      </c>
      <c r="K157" s="19" t="inlineStr">
        <is>
          <t>E-Commerce</t>
        </is>
      </c>
      <c r="L157" s="20" t="inlineStr">
        <is>
          <t>Venture Capital-Backed</t>
        </is>
      </c>
      <c r="M157" s="21" t="n">
        <v>4.0</v>
      </c>
      <c r="N157" s="22" t="inlineStr">
        <is>
          <t>Startup</t>
        </is>
      </c>
      <c r="O157" s="23" t="inlineStr">
        <is>
          <t>Privately Held (backing)</t>
        </is>
      </c>
      <c r="P157" s="24" t="inlineStr">
        <is>
          <t>Venture Capital</t>
        </is>
      </c>
      <c r="Q157" s="25" t="inlineStr">
        <is>
          <t>www.zolar.de</t>
        </is>
      </c>
      <c r="R157" s="26" t="inlineStr">
        <is>
          <t/>
        </is>
      </c>
      <c r="S157" s="27" t="inlineStr">
        <is>
          <t/>
        </is>
      </c>
      <c r="T157" s="28" t="inlineStr">
        <is>
          <t/>
        </is>
      </c>
      <c r="U157" s="29" t="n">
        <v>2016.0</v>
      </c>
      <c r="V157" s="30" t="inlineStr">
        <is>
          <t/>
        </is>
      </c>
      <c r="W157" s="31" t="inlineStr">
        <is>
          <t/>
        </is>
      </c>
      <c r="X157" s="32" t="inlineStr">
        <is>
          <t/>
        </is>
      </c>
      <c r="Y157" s="33" t="inlineStr">
        <is>
          <t/>
        </is>
      </c>
      <c r="Z157" s="34" t="inlineStr">
        <is>
          <t/>
        </is>
      </c>
      <c r="AA157" s="35" t="inlineStr">
        <is>
          <t/>
        </is>
      </c>
      <c r="AB157" s="36" t="inlineStr">
        <is>
          <t/>
        </is>
      </c>
      <c r="AC157" s="37" t="inlineStr">
        <is>
          <t/>
        </is>
      </c>
      <c r="AD157" s="38" t="inlineStr">
        <is>
          <t/>
        </is>
      </c>
      <c r="AE157" s="39" t="inlineStr">
        <is>
          <t>174635-56P</t>
        </is>
      </c>
      <c r="AF157" s="40" t="inlineStr">
        <is>
          <t>Gregor Loukidis</t>
        </is>
      </c>
      <c r="AG157" s="41" t="inlineStr">
        <is>
          <t>Co-Founder &amp; Managing Director</t>
        </is>
      </c>
      <c r="AH157" s="42" t="inlineStr">
        <is>
          <t>gregor.loukidis@zolar.de</t>
        </is>
      </c>
      <c r="AI157" s="43" t="inlineStr">
        <is>
          <t>+49 (0)30 3642 8456 7</t>
        </is>
      </c>
      <c r="AJ157" s="44" t="inlineStr">
        <is>
          <t>Berlin, Germany</t>
        </is>
      </c>
      <c r="AK157" s="45" t="inlineStr">
        <is>
          <t>Torgauer Str. 12 - 15</t>
        </is>
      </c>
      <c r="AL157" s="46" t="inlineStr">
        <is>
          <t/>
        </is>
      </c>
      <c r="AM157" s="47" t="inlineStr">
        <is>
          <t>Berlin</t>
        </is>
      </c>
      <c r="AN157" s="48" t="inlineStr">
        <is>
          <t/>
        </is>
      </c>
      <c r="AO157" s="49" t="inlineStr">
        <is>
          <t>10829</t>
        </is>
      </c>
      <c r="AP157" s="50" t="inlineStr">
        <is>
          <t>Germany</t>
        </is>
      </c>
      <c r="AQ157" s="51" t="inlineStr">
        <is>
          <t>+49 (0)30 3642 8456 7</t>
        </is>
      </c>
      <c r="AR157" s="52" t="inlineStr">
        <is>
          <t/>
        </is>
      </c>
      <c r="AS157" s="53" t="inlineStr">
        <is>
          <t>info@zolar.de</t>
        </is>
      </c>
      <c r="AT157" s="54" t="inlineStr">
        <is>
          <t>Europe</t>
        </is>
      </c>
      <c r="AU157" s="55" t="inlineStr">
        <is>
          <t>Western Europe</t>
        </is>
      </c>
      <c r="AV157" s="56" t="inlineStr">
        <is>
          <t>The company raised EUR 4 million of venture funding from Sunstone Capital, Statkraft Ventures and Partech Ventures on November 16, 2017. Tim Schumacher also participated in the round. The funding will be used to expand its online offer and work on other products.</t>
        </is>
      </c>
      <c r="AW157" s="57" t="inlineStr">
        <is>
          <t>Climate-KIC, GP Joule, Partech Ventures, Statkraft Ventures, Sunstone Capital, Tim Schumacher</t>
        </is>
      </c>
      <c r="AX157" s="58" t="n">
        <v>6.0</v>
      </c>
      <c r="AY157" s="59" t="inlineStr">
        <is>
          <t/>
        </is>
      </c>
      <c r="AZ157" s="60" t="inlineStr">
        <is>
          <t/>
        </is>
      </c>
      <c r="BA157" s="61" t="inlineStr">
        <is>
          <t/>
        </is>
      </c>
      <c r="BB157" s="62" t="inlineStr">
        <is>
          <t>Climate-KIC (www.climate-kic.org), GP Joule (www.gp-joule.de), Partech Ventures (www.partechventures.com), Statkraft Ventures (www.statkraftventures.com), Sunstone Capital (www.sunstone.eu)</t>
        </is>
      </c>
      <c r="BC157" s="63" t="inlineStr">
        <is>
          <t/>
        </is>
      </c>
      <c r="BD157" s="64" t="inlineStr">
        <is>
          <t/>
        </is>
      </c>
      <c r="BE157" s="65" t="inlineStr">
        <is>
          <t/>
        </is>
      </c>
      <c r="BF157" s="66" t="inlineStr">
        <is>
          <t/>
        </is>
      </c>
      <c r="BG157" s="67" t="n">
        <v>42522.0</v>
      </c>
      <c r="BH157" s="68" t="inlineStr">
        <is>
          <t/>
        </is>
      </c>
      <c r="BI157" s="69" t="inlineStr">
        <is>
          <t/>
        </is>
      </c>
      <c r="BJ157" s="70" t="inlineStr">
        <is>
          <t/>
        </is>
      </c>
      <c r="BK157" s="71" t="inlineStr">
        <is>
          <t/>
        </is>
      </c>
      <c r="BL157" s="72" t="inlineStr">
        <is>
          <t>Accelerator/Incubator</t>
        </is>
      </c>
      <c r="BM157" s="73" t="inlineStr">
        <is>
          <t/>
        </is>
      </c>
      <c r="BN157" s="74" t="inlineStr">
        <is>
          <t/>
        </is>
      </c>
      <c r="BO157" s="75" t="inlineStr">
        <is>
          <t>Other</t>
        </is>
      </c>
      <c r="BP157" s="76" t="inlineStr">
        <is>
          <t/>
        </is>
      </c>
      <c r="BQ157" s="77" t="inlineStr">
        <is>
          <t/>
        </is>
      </c>
      <c r="BR157" s="78" t="inlineStr">
        <is>
          <t/>
        </is>
      </c>
      <c r="BS157" s="79" t="inlineStr">
        <is>
          <t>Completed</t>
        </is>
      </c>
      <c r="BT157" s="80" t="n">
        <v>43055.0</v>
      </c>
      <c r="BU157" s="81" t="n">
        <v>4.0</v>
      </c>
      <c r="BV157" s="82" t="inlineStr">
        <is>
          <t>Actual</t>
        </is>
      </c>
      <c r="BW157" s="83" t="inlineStr">
        <is>
          <t/>
        </is>
      </c>
      <c r="BX157" s="84" t="inlineStr">
        <is>
          <t/>
        </is>
      </c>
      <c r="BY157" s="85" t="inlineStr">
        <is>
          <t>Early Stage VC</t>
        </is>
      </c>
      <c r="BZ157" s="86" t="inlineStr">
        <is>
          <t/>
        </is>
      </c>
      <c r="CA157" s="87" t="inlineStr">
        <is>
          <t/>
        </is>
      </c>
      <c r="CB157" s="88" t="inlineStr">
        <is>
          <t>Venture Capital</t>
        </is>
      </c>
      <c r="CC157" s="89" t="inlineStr">
        <is>
          <t/>
        </is>
      </c>
      <c r="CD157" s="90" t="inlineStr">
        <is>
          <t/>
        </is>
      </c>
      <c r="CE157" s="91" t="inlineStr">
        <is>
          <t/>
        </is>
      </c>
      <c r="CF157" s="92" t="inlineStr">
        <is>
          <t>Completed</t>
        </is>
      </c>
      <c r="CG157" s="93" t="inlineStr">
        <is>
          <t>0,88%</t>
        </is>
      </c>
      <c r="CH157" s="94" t="inlineStr">
        <is>
          <t>94</t>
        </is>
      </c>
      <c r="CI157" s="95" t="inlineStr">
        <is>
          <t>0,13%</t>
        </is>
      </c>
      <c r="CJ157" s="96" t="inlineStr">
        <is>
          <t>17,82%</t>
        </is>
      </c>
      <c r="CK157" s="97" t="inlineStr">
        <is>
          <t>0,00%</t>
        </is>
      </c>
      <c r="CL157" s="98" t="inlineStr">
        <is>
          <t>28</t>
        </is>
      </c>
      <c r="CM157" s="99" t="inlineStr">
        <is>
          <t>1,76%</t>
        </is>
      </c>
      <c r="CN157" s="100" t="inlineStr">
        <is>
          <t>98</t>
        </is>
      </c>
      <c r="CO157" s="101" t="inlineStr">
        <is>
          <t/>
        </is>
      </c>
      <c r="CP157" s="102" t="inlineStr">
        <is>
          <t/>
        </is>
      </c>
      <c r="CQ157" s="103" t="inlineStr">
        <is>
          <t>0,00%</t>
        </is>
      </c>
      <c r="CR157" s="104" t="inlineStr">
        <is>
          <t>20</t>
        </is>
      </c>
      <c r="CS157" s="105" t="inlineStr">
        <is>
          <t>1,76%</t>
        </is>
      </c>
      <c r="CT157" s="106" t="inlineStr">
        <is>
          <t>98</t>
        </is>
      </c>
      <c r="CU157" s="107" t="inlineStr">
        <is>
          <t/>
        </is>
      </c>
      <c r="CV157" s="108" t="inlineStr">
        <is>
          <t/>
        </is>
      </c>
      <c r="CW157" s="109" t="inlineStr">
        <is>
          <t>0,91x</t>
        </is>
      </c>
      <c r="CX157" s="110" t="inlineStr">
        <is>
          <t>47</t>
        </is>
      </c>
      <c r="CY157" s="111" t="inlineStr">
        <is>
          <t>0,12x</t>
        </is>
      </c>
      <c r="CZ157" s="112" t="inlineStr">
        <is>
          <t>14,85%</t>
        </is>
      </c>
      <c r="DA157" s="113" t="inlineStr">
        <is>
          <t>1,58x</t>
        </is>
      </c>
      <c r="DB157" s="114" t="inlineStr">
        <is>
          <t>62</t>
        </is>
      </c>
      <c r="DC157" s="115" t="inlineStr">
        <is>
          <t>0,23x</t>
        </is>
      </c>
      <c r="DD157" s="116" t="inlineStr">
        <is>
          <t>23</t>
        </is>
      </c>
      <c r="DE157" s="117" t="inlineStr">
        <is>
          <t/>
        </is>
      </c>
      <c r="DF157" s="118" t="inlineStr">
        <is>
          <t/>
        </is>
      </c>
      <c r="DG157" s="119" t="inlineStr">
        <is>
          <t>1,58x</t>
        </is>
      </c>
      <c r="DH157" s="120" t="inlineStr">
        <is>
          <t>60</t>
        </is>
      </c>
      <c r="DI157" s="121" t="inlineStr">
        <is>
          <t>0,23x</t>
        </is>
      </c>
      <c r="DJ157" s="122" t="inlineStr">
        <is>
          <t>26</t>
        </is>
      </c>
      <c r="DK157" s="123" t="inlineStr">
        <is>
          <t/>
        </is>
      </c>
      <c r="DL157" s="124" t="inlineStr">
        <is>
          <t/>
        </is>
      </c>
      <c r="DM157" s="125" t="inlineStr">
        <is>
          <t/>
        </is>
      </c>
      <c r="DN157" s="126" t="inlineStr">
        <is>
          <t/>
        </is>
      </c>
      <c r="DO157" s="127" t="inlineStr">
        <is>
          <t/>
        </is>
      </c>
      <c r="DP157" s="128" t="inlineStr">
        <is>
          <t>177</t>
        </is>
      </c>
      <c r="DQ157" s="129" t="inlineStr">
        <is>
          <t>7</t>
        </is>
      </c>
      <c r="DR157" s="130" t="inlineStr">
        <is>
          <t>4,12%</t>
        </is>
      </c>
      <c r="DS157" s="131" t="inlineStr">
        <is>
          <t>53</t>
        </is>
      </c>
      <c r="DT157" s="132" t="inlineStr">
        <is>
          <t>5</t>
        </is>
      </c>
      <c r="DU157" s="133" t="inlineStr">
        <is>
          <t>10,42%</t>
        </is>
      </c>
      <c r="DV157" s="134" t="inlineStr">
        <is>
          <t/>
        </is>
      </c>
      <c r="DW157" s="135" t="inlineStr">
        <is>
          <t/>
        </is>
      </c>
      <c r="DX157" s="136" t="inlineStr">
        <is>
          <t/>
        </is>
      </c>
      <c r="DY157" s="137" t="inlineStr">
        <is>
          <t>PitchBook Research</t>
        </is>
      </c>
      <c r="DZ157" s="785">
        <f>HYPERLINK("https://my.pitchbook.com?c=185162-95", "View company online")</f>
      </c>
    </row>
    <row r="158">
      <c r="A158" s="139" t="inlineStr">
        <is>
          <t>155234-80</t>
        </is>
      </c>
      <c r="B158" s="140" t="inlineStr">
        <is>
          <t>LifeSense Group</t>
        </is>
      </c>
      <c r="C158" s="141" t="inlineStr">
        <is>
          <t>UniCare</t>
        </is>
      </c>
      <c r="D158" s="142" t="inlineStr">
        <is>
          <t>LifeSense</t>
        </is>
      </c>
      <c r="E158" s="143" t="inlineStr">
        <is>
          <t>155234-80</t>
        </is>
      </c>
      <c r="F158" s="144" t="inlineStr">
        <is>
          <t>Producer of wearable devices designed for healthcare applications. The company offers Carin, a product that provides a solution to urinary incontinence for women. Carin cures women's urinary incontinence in six to eight weeks.</t>
        </is>
      </c>
      <c r="G158" s="145" t="inlineStr">
        <is>
          <t>Consumer Products and Services (B2C)</t>
        </is>
      </c>
      <c r="H158" s="146" t="inlineStr">
        <is>
          <t>Consumer Durables</t>
        </is>
      </c>
      <c r="I158" s="147" t="inlineStr">
        <is>
          <t>Electronics (B2C)</t>
        </is>
      </c>
      <c r="J158" s="148" t="inlineStr">
        <is>
          <t>Electronics (B2C)*</t>
        </is>
      </c>
      <c r="K158" s="149" t="inlineStr">
        <is>
          <t>Wearables &amp; Quantified Self</t>
        </is>
      </c>
      <c r="L158" s="150" t="inlineStr">
        <is>
          <t>Venture Capital-Backed</t>
        </is>
      </c>
      <c r="M158" s="151" t="n">
        <v>4.07</v>
      </c>
      <c r="N158" s="152" t="inlineStr">
        <is>
          <t>Generating Revenue</t>
        </is>
      </c>
      <c r="O158" s="153" t="inlineStr">
        <is>
          <t>Privately Held (backing)</t>
        </is>
      </c>
      <c r="P158" s="154" t="inlineStr">
        <is>
          <t>Venture Capital</t>
        </is>
      </c>
      <c r="Q158" s="155" t="inlineStr">
        <is>
          <t>www.lifesense-group.com</t>
        </is>
      </c>
      <c r="R158" s="156" t="n">
        <v>25.0</v>
      </c>
      <c r="S158" s="157" t="inlineStr">
        <is>
          <t/>
        </is>
      </c>
      <c r="T158" s="158" t="inlineStr">
        <is>
          <t/>
        </is>
      </c>
      <c r="U158" s="159" t="n">
        <v>2012.0</v>
      </c>
      <c r="V158" s="160" t="inlineStr">
        <is>
          <t/>
        </is>
      </c>
      <c r="W158" s="161" t="inlineStr">
        <is>
          <t/>
        </is>
      </c>
      <c r="X158" s="162" t="inlineStr">
        <is>
          <t/>
        </is>
      </c>
      <c r="Y158" s="163" t="inlineStr">
        <is>
          <t/>
        </is>
      </c>
      <c r="Z158" s="164" t="inlineStr">
        <is>
          <t/>
        </is>
      </c>
      <c r="AA158" s="165" t="inlineStr">
        <is>
          <t/>
        </is>
      </c>
      <c r="AB158" s="166" t="n">
        <v>12.75675</v>
      </c>
      <c r="AC158" s="167" t="inlineStr">
        <is>
          <t/>
        </is>
      </c>
      <c r="AD158" s="168" t="inlineStr">
        <is>
          <t>FY 2017</t>
        </is>
      </c>
      <c r="AE158" s="169" t="inlineStr">
        <is>
          <t>135890-56P</t>
        </is>
      </c>
      <c r="AF158" s="170" t="inlineStr">
        <is>
          <t>Valer Pop</t>
        </is>
      </c>
      <c r="AG158" s="171" t="inlineStr">
        <is>
          <t>Co-Founder, Chief Executive Officer &amp; Board Member</t>
        </is>
      </c>
      <c r="AH158" s="172" t="inlineStr">
        <is>
          <t>valer.pop@lifesense-group.com</t>
        </is>
      </c>
      <c r="AI158" s="173" t="inlineStr">
        <is>
          <t>+31 (0)63 192 6505</t>
        </is>
      </c>
      <c r="AJ158" s="174" t="inlineStr">
        <is>
          <t>Eindhoven, Netherlands</t>
        </is>
      </c>
      <c r="AK158" s="175" t="inlineStr">
        <is>
          <t>High Tech Campus 12A</t>
        </is>
      </c>
      <c r="AL158" s="176" t="inlineStr">
        <is>
          <t/>
        </is>
      </c>
      <c r="AM158" s="177" t="inlineStr">
        <is>
          <t>Eindhoven</t>
        </is>
      </c>
      <c r="AN158" s="178" t="inlineStr">
        <is>
          <t/>
        </is>
      </c>
      <c r="AO158" s="179" t="inlineStr">
        <is>
          <t>5656 AE</t>
        </is>
      </c>
      <c r="AP158" s="180" t="inlineStr">
        <is>
          <t>Netherlands</t>
        </is>
      </c>
      <c r="AQ158" s="181" t="inlineStr">
        <is>
          <t>+31 (0)63 192 6505</t>
        </is>
      </c>
      <c r="AR158" s="182" t="inlineStr">
        <is>
          <t/>
        </is>
      </c>
      <c r="AS158" s="183" t="inlineStr">
        <is>
          <t>info@lifesense-group.com</t>
        </is>
      </c>
      <c r="AT158" s="184" t="inlineStr">
        <is>
          <t>Europe</t>
        </is>
      </c>
      <c r="AU158" s="185" t="inlineStr">
        <is>
          <t>Western Europe</t>
        </is>
      </c>
      <c r="AV158" s="186" t="inlineStr">
        <is>
          <t>The company raised $3 million of venture funding from undisclosed investors on September 18, 2017.</t>
        </is>
      </c>
      <c r="AW158" s="187" t="inlineStr">
        <is>
          <t/>
        </is>
      </c>
      <c r="AX158" s="188" t="inlineStr">
        <is>
          <t/>
        </is>
      </c>
      <c r="AY158" s="189" t="inlineStr">
        <is>
          <t/>
        </is>
      </c>
      <c r="AZ158" s="190" t="inlineStr">
        <is>
          <t/>
        </is>
      </c>
      <c r="BA158" s="191" t="inlineStr">
        <is>
          <t/>
        </is>
      </c>
      <c r="BB158" s="192" t="inlineStr">
        <is>
          <t/>
        </is>
      </c>
      <c r="BC158" s="193" t="inlineStr">
        <is>
          <t/>
        </is>
      </c>
      <c r="BD158" s="194" t="inlineStr">
        <is>
          <t/>
        </is>
      </c>
      <c r="BE158" s="195" t="inlineStr">
        <is>
          <t>EY (Auditor), EY (Legal Advisor), Rabobank Group (General Business Banking)</t>
        </is>
      </c>
      <c r="BF158" s="196" t="inlineStr">
        <is>
          <t/>
        </is>
      </c>
      <c r="BG158" s="197" t="n">
        <v>41180.0</v>
      </c>
      <c r="BH158" s="198" t="n">
        <v>1.56</v>
      </c>
      <c r="BI158" s="199" t="inlineStr">
        <is>
          <t>Actual</t>
        </is>
      </c>
      <c r="BJ158" s="200" t="inlineStr">
        <is>
          <t/>
        </is>
      </c>
      <c r="BK158" s="201" t="inlineStr">
        <is>
          <t/>
        </is>
      </c>
      <c r="BL158" s="202" t="inlineStr">
        <is>
          <t>Seed Round</t>
        </is>
      </c>
      <c r="BM158" s="203" t="inlineStr">
        <is>
          <t>Seed</t>
        </is>
      </c>
      <c r="BN158" s="204" t="inlineStr">
        <is>
          <t/>
        </is>
      </c>
      <c r="BO158" s="205" t="inlineStr">
        <is>
          <t>Venture Capital</t>
        </is>
      </c>
      <c r="BP158" s="206" t="inlineStr">
        <is>
          <t/>
        </is>
      </c>
      <c r="BQ158" s="207" t="inlineStr">
        <is>
          <t/>
        </is>
      </c>
      <c r="BR158" s="208" t="inlineStr">
        <is>
          <t/>
        </is>
      </c>
      <c r="BS158" s="209" t="inlineStr">
        <is>
          <t>Completed</t>
        </is>
      </c>
      <c r="BT158" s="210" t="n">
        <v>42996.0</v>
      </c>
      <c r="BU158" s="211" t="n">
        <v>2.52</v>
      </c>
      <c r="BV158" s="212" t="inlineStr">
        <is>
          <t>Actual</t>
        </is>
      </c>
      <c r="BW158" s="213" t="inlineStr">
        <is>
          <t/>
        </is>
      </c>
      <c r="BX158" s="214" t="inlineStr">
        <is>
          <t/>
        </is>
      </c>
      <c r="BY158" s="215" t="inlineStr">
        <is>
          <t>Seed Round</t>
        </is>
      </c>
      <c r="BZ158" s="216" t="inlineStr">
        <is>
          <t>Seed</t>
        </is>
      </c>
      <c r="CA158" s="217" t="inlineStr">
        <is>
          <t/>
        </is>
      </c>
      <c r="CB158" s="218" t="inlineStr">
        <is>
          <t>Venture Capital</t>
        </is>
      </c>
      <c r="CC158" s="219" t="inlineStr">
        <is>
          <t/>
        </is>
      </c>
      <c r="CD158" s="220" t="inlineStr">
        <is>
          <t/>
        </is>
      </c>
      <c r="CE158" s="221" t="inlineStr">
        <is>
          <t/>
        </is>
      </c>
      <c r="CF158" s="222" t="inlineStr">
        <is>
          <t>Completed</t>
        </is>
      </c>
      <c r="CG158" s="223" t="inlineStr">
        <is>
          <t>0,62%</t>
        </is>
      </c>
      <c r="CH158" s="224" t="inlineStr">
        <is>
          <t>93</t>
        </is>
      </c>
      <c r="CI158" s="225" t="inlineStr">
        <is>
          <t>0,02%</t>
        </is>
      </c>
      <c r="CJ158" s="226" t="inlineStr">
        <is>
          <t>3,48%</t>
        </is>
      </c>
      <c r="CK158" s="227" t="inlineStr">
        <is>
          <t>0,00%</t>
        </is>
      </c>
      <c r="CL158" s="228" t="inlineStr">
        <is>
          <t>28</t>
        </is>
      </c>
      <c r="CM158" s="229" t="inlineStr">
        <is>
          <t>0,80%</t>
        </is>
      </c>
      <c r="CN158" s="230" t="inlineStr">
        <is>
          <t>94</t>
        </is>
      </c>
      <c r="CO158" s="231" t="inlineStr">
        <is>
          <t>0,00%</t>
        </is>
      </c>
      <c r="CP158" s="232" t="inlineStr">
        <is>
          <t>37</t>
        </is>
      </c>
      <c r="CQ158" s="233" t="inlineStr">
        <is>
          <t>0,00%</t>
        </is>
      </c>
      <c r="CR158" s="234" t="inlineStr">
        <is>
          <t>20</t>
        </is>
      </c>
      <c r="CS158" s="235" t="inlineStr">
        <is>
          <t/>
        </is>
      </c>
      <c r="CT158" s="236" t="inlineStr">
        <is>
          <t/>
        </is>
      </c>
      <c r="CU158" s="237" t="inlineStr">
        <is>
          <t>0,80%</t>
        </is>
      </c>
      <c r="CV158" s="238" t="inlineStr">
        <is>
          <t>95</t>
        </is>
      </c>
      <c r="CW158" s="239" t="inlineStr">
        <is>
          <t>0,42x</t>
        </is>
      </c>
      <c r="CX158" s="240" t="inlineStr">
        <is>
          <t>29</t>
        </is>
      </c>
      <c r="CY158" s="241" t="inlineStr">
        <is>
          <t>-0,01x</t>
        </is>
      </c>
      <c r="CZ158" s="242" t="inlineStr">
        <is>
          <t>-1,30%</t>
        </is>
      </c>
      <c r="DA158" s="243" t="inlineStr">
        <is>
          <t>0,68x</t>
        </is>
      </c>
      <c r="DB158" s="244" t="inlineStr">
        <is>
          <t>42</t>
        </is>
      </c>
      <c r="DC158" s="245" t="inlineStr">
        <is>
          <t>0,48x</t>
        </is>
      </c>
      <c r="DD158" s="246" t="inlineStr">
        <is>
          <t>35</t>
        </is>
      </c>
      <c r="DE158" s="247" t="inlineStr">
        <is>
          <t>1,00x</t>
        </is>
      </c>
      <c r="DF158" s="248" t="inlineStr">
        <is>
          <t>50</t>
        </is>
      </c>
      <c r="DG158" s="249" t="inlineStr">
        <is>
          <t>0,36x</t>
        </is>
      </c>
      <c r="DH158" s="250" t="inlineStr">
        <is>
          <t>29</t>
        </is>
      </c>
      <c r="DI158" s="251" t="inlineStr">
        <is>
          <t/>
        </is>
      </c>
      <c r="DJ158" s="252" t="inlineStr">
        <is>
          <t/>
        </is>
      </c>
      <c r="DK158" s="253" t="inlineStr">
        <is>
          <t>0,48x</t>
        </is>
      </c>
      <c r="DL158" s="254" t="inlineStr">
        <is>
          <t>37</t>
        </is>
      </c>
      <c r="DM158" s="255" t="inlineStr">
        <is>
          <t>357</t>
        </is>
      </c>
      <c r="DN158" s="256" t="inlineStr">
        <is>
          <t>38</t>
        </is>
      </c>
      <c r="DO158" s="257" t="inlineStr">
        <is>
          <t>11,91%</t>
        </is>
      </c>
      <c r="DP158" s="258" t="inlineStr">
        <is>
          <t/>
        </is>
      </c>
      <c r="DQ158" s="259" t="inlineStr">
        <is>
          <t/>
        </is>
      </c>
      <c r="DR158" s="260" t="inlineStr">
        <is>
          <t/>
        </is>
      </c>
      <c r="DS158" s="261" t="inlineStr">
        <is>
          <t>13</t>
        </is>
      </c>
      <c r="DT158" s="262" t="inlineStr">
        <is>
          <t>-1</t>
        </is>
      </c>
      <c r="DU158" s="263" t="inlineStr">
        <is>
          <t>-7,14%</t>
        </is>
      </c>
      <c r="DV158" s="264" t="inlineStr">
        <is>
          <t>178</t>
        </is>
      </c>
      <c r="DW158" s="265" t="inlineStr">
        <is>
          <t>3</t>
        </is>
      </c>
      <c r="DX158" s="266" t="inlineStr">
        <is>
          <t>1,71%</t>
        </is>
      </c>
      <c r="DY158" s="267" t="inlineStr">
        <is>
          <t>PitchBook Research</t>
        </is>
      </c>
      <c r="DZ158" s="786">
        <f>HYPERLINK("https://my.pitchbook.com?c=155234-80", "View company online")</f>
      </c>
    </row>
    <row r="159">
      <c r="A159" s="9" t="inlineStr">
        <is>
          <t>163902-52</t>
        </is>
      </c>
      <c r="B159" s="10" t="inlineStr">
        <is>
          <t>Wrisk</t>
        </is>
      </c>
      <c r="C159" s="11" t="inlineStr">
        <is>
          <t/>
        </is>
      </c>
      <c r="D159" s="12" t="inlineStr">
        <is>
          <t/>
        </is>
      </c>
      <c r="E159" s="13" t="inlineStr">
        <is>
          <t>163902-52</t>
        </is>
      </c>
      <c r="F159" s="14" t="inlineStr">
        <is>
          <t>Developer of a customized insurance application. The company develops an application and specializes in insurance covers which are customized for individual persons.</t>
        </is>
      </c>
      <c r="G159" s="15" t="inlineStr">
        <is>
          <t>Financial Services</t>
        </is>
      </c>
      <c r="H159" s="16" t="inlineStr">
        <is>
          <t>Insurance</t>
        </is>
      </c>
      <c r="I159" s="17" t="inlineStr">
        <is>
          <t>Other Insurance</t>
        </is>
      </c>
      <c r="J159" s="18" t="inlineStr">
        <is>
          <t>Other Insurance*; Application Software</t>
        </is>
      </c>
      <c r="K159" s="19" t="inlineStr">
        <is>
          <t>InsurTech, Mobile</t>
        </is>
      </c>
      <c r="L159" s="20" t="inlineStr">
        <is>
          <t>Venture Capital-Backed</t>
        </is>
      </c>
      <c r="M159" s="21" t="n">
        <v>4.09</v>
      </c>
      <c r="N159" s="22" t="inlineStr">
        <is>
          <t>Startup</t>
        </is>
      </c>
      <c r="O159" s="23" t="inlineStr">
        <is>
          <t>Privately Held (backing)</t>
        </is>
      </c>
      <c r="P159" s="24" t="inlineStr">
        <is>
          <t>Venture Capital</t>
        </is>
      </c>
      <c r="Q159" s="25" t="inlineStr">
        <is>
          <t>www.wrisk.co</t>
        </is>
      </c>
      <c r="R159" s="26" t="n">
        <v>8.0</v>
      </c>
      <c r="S159" s="27" t="inlineStr">
        <is>
          <t/>
        </is>
      </c>
      <c r="T159" s="28" t="inlineStr">
        <is>
          <t/>
        </is>
      </c>
      <c r="U159" s="29" t="n">
        <v>2015.0</v>
      </c>
      <c r="V159" s="30" t="inlineStr">
        <is>
          <t/>
        </is>
      </c>
      <c r="W159" s="31" t="inlineStr">
        <is>
          <t/>
        </is>
      </c>
      <c r="X159" s="32" t="inlineStr">
        <is>
          <t/>
        </is>
      </c>
      <c r="Y159" s="33" t="inlineStr">
        <is>
          <t/>
        </is>
      </c>
      <c r="Z159" s="34" t="inlineStr">
        <is>
          <t/>
        </is>
      </c>
      <c r="AA159" s="35" t="inlineStr">
        <is>
          <t/>
        </is>
      </c>
      <c r="AB159" s="36" t="inlineStr">
        <is>
          <t/>
        </is>
      </c>
      <c r="AC159" s="37" t="inlineStr">
        <is>
          <t/>
        </is>
      </c>
      <c r="AD159" s="38" t="inlineStr">
        <is>
          <t/>
        </is>
      </c>
      <c r="AE159" s="39" t="inlineStr">
        <is>
          <t>142568-92P</t>
        </is>
      </c>
      <c r="AF159" s="40" t="inlineStr">
        <is>
          <t>Darius Kumana</t>
        </is>
      </c>
      <c r="AG159" s="41" t="inlineStr">
        <is>
          <t>Co-Founder &amp; Chief Operating Officer</t>
        </is>
      </c>
      <c r="AH159" s="42" t="inlineStr">
        <is>
          <t>darius@wrisk.co</t>
        </is>
      </c>
      <c r="AI159" s="43" t="inlineStr">
        <is>
          <t/>
        </is>
      </c>
      <c r="AJ159" s="44" t="inlineStr">
        <is>
          <t>London, United Kingdom</t>
        </is>
      </c>
      <c r="AK159" s="45" t="inlineStr">
        <is>
          <t>25 Moorgate</t>
        </is>
      </c>
      <c r="AL159" s="46" t="inlineStr">
        <is>
          <t/>
        </is>
      </c>
      <c r="AM159" s="47" t="inlineStr">
        <is>
          <t>London</t>
        </is>
      </c>
      <c r="AN159" s="48" t="inlineStr">
        <is>
          <t>England</t>
        </is>
      </c>
      <c r="AO159" s="49" t="inlineStr">
        <is>
          <t>EC2R 6AY</t>
        </is>
      </c>
      <c r="AP159" s="50" t="inlineStr">
        <is>
          <t>United Kingdom</t>
        </is>
      </c>
      <c r="AQ159" s="51" t="inlineStr">
        <is>
          <t/>
        </is>
      </c>
      <c r="AR159" s="52" t="inlineStr">
        <is>
          <t/>
        </is>
      </c>
      <c r="AS159" s="53" t="inlineStr">
        <is>
          <t/>
        </is>
      </c>
      <c r="AT159" s="54" t="inlineStr">
        <is>
          <t>Europe</t>
        </is>
      </c>
      <c r="AU159" s="55" t="inlineStr">
        <is>
          <t>Western Europe</t>
        </is>
      </c>
      <c r="AV159" s="56" t="inlineStr">
        <is>
          <t>The company raised GBP 638,719 of angel funding via crowdfunding platform Seedrs on October 27, 2017. Earlier, The company raised GBP 3 million of seed funding in a deal led by Oxford Capital Partners on October 24, 2017. Hiscox, Bupa Australia Health and Munich Re also participated in the round.</t>
        </is>
      </c>
      <c r="AW159" s="57" t="inlineStr">
        <is>
          <t>Bupa Australia Health, Hiscox, Munich Re, Oxford Capital Partners</t>
        </is>
      </c>
      <c r="AX159" s="58" t="n">
        <v>4.0</v>
      </c>
      <c r="AY159" s="59" t="inlineStr">
        <is>
          <t/>
        </is>
      </c>
      <c r="AZ159" s="60" t="inlineStr">
        <is>
          <t/>
        </is>
      </c>
      <c r="BA159" s="61" t="inlineStr">
        <is>
          <t/>
        </is>
      </c>
      <c r="BB159" s="62" t="inlineStr">
        <is>
          <t>Bupa Australia Health (www.bupa.com.au), Hiscox (www.hiscoxgroup.com), Munich Re (www.munichre.com), Oxford Capital Partners (www.oxcp.com)</t>
        </is>
      </c>
      <c r="BC159" s="63" t="inlineStr">
        <is>
          <t/>
        </is>
      </c>
      <c r="BD159" s="64" t="inlineStr">
        <is>
          <t/>
        </is>
      </c>
      <c r="BE159" s="65" t="inlineStr">
        <is>
          <t/>
        </is>
      </c>
      <c r="BF159" s="66" t="inlineStr">
        <is>
          <t>Seedrs (Lead Manager or Arranger)</t>
        </is>
      </c>
      <c r="BG159" s="67" t="n">
        <v>42599.0</v>
      </c>
      <c r="BH159" s="68" t="inlineStr">
        <is>
          <t/>
        </is>
      </c>
      <c r="BI159" s="69" t="inlineStr">
        <is>
          <t/>
        </is>
      </c>
      <c r="BJ159" s="70" t="inlineStr">
        <is>
          <t/>
        </is>
      </c>
      <c r="BK159" s="71" t="inlineStr">
        <is>
          <t/>
        </is>
      </c>
      <c r="BL159" s="72" t="inlineStr">
        <is>
          <t>Convertible Debt</t>
        </is>
      </c>
      <c r="BM159" s="73" t="inlineStr">
        <is>
          <t/>
        </is>
      </c>
      <c r="BN159" s="74" t="inlineStr">
        <is>
          <t/>
        </is>
      </c>
      <c r="BO159" s="75" t="inlineStr">
        <is>
          <t>Debt</t>
        </is>
      </c>
      <c r="BP159" s="76" t="inlineStr">
        <is>
          <t>Convertible Debt</t>
        </is>
      </c>
      <c r="BQ159" s="77" t="inlineStr">
        <is>
          <t/>
        </is>
      </c>
      <c r="BR159" s="78" t="inlineStr">
        <is>
          <t/>
        </is>
      </c>
      <c r="BS159" s="79" t="inlineStr">
        <is>
          <t>Failed/Cancelled</t>
        </is>
      </c>
      <c r="BT159" s="80" t="n">
        <v>43035.0</v>
      </c>
      <c r="BU159" s="81" t="n">
        <v>0.72</v>
      </c>
      <c r="BV159" s="82" t="inlineStr">
        <is>
          <t>Actual</t>
        </is>
      </c>
      <c r="BW159" s="83" t="n">
        <v>8.59</v>
      </c>
      <c r="BX159" s="84" t="inlineStr">
        <is>
          <t>Actual</t>
        </is>
      </c>
      <c r="BY159" s="85" t="inlineStr">
        <is>
          <t>Angel (individual)</t>
        </is>
      </c>
      <c r="BZ159" s="86" t="inlineStr">
        <is>
          <t>Angel</t>
        </is>
      </c>
      <c r="CA159" s="87" t="inlineStr">
        <is>
          <t/>
        </is>
      </c>
      <c r="CB159" s="88" t="inlineStr">
        <is>
          <t>Individual</t>
        </is>
      </c>
      <c r="CC159" s="89" t="inlineStr">
        <is>
          <t/>
        </is>
      </c>
      <c r="CD159" s="90" t="inlineStr">
        <is>
          <t/>
        </is>
      </c>
      <c r="CE159" s="91" t="inlineStr">
        <is>
          <t/>
        </is>
      </c>
      <c r="CF159" s="92" t="inlineStr">
        <is>
          <t>Completed</t>
        </is>
      </c>
      <c r="CG159" s="93" t="inlineStr">
        <is>
          <t/>
        </is>
      </c>
      <c r="CH159" s="94" t="inlineStr">
        <is>
          <t/>
        </is>
      </c>
      <c r="CI159" s="95" t="inlineStr">
        <is>
          <t/>
        </is>
      </c>
      <c r="CJ159" s="96" t="inlineStr">
        <is>
          <t/>
        </is>
      </c>
      <c r="CK159" s="97" t="inlineStr">
        <is>
          <t/>
        </is>
      </c>
      <c r="CL159" s="98" t="inlineStr">
        <is>
          <t/>
        </is>
      </c>
      <c r="CM159" s="99" t="inlineStr">
        <is>
          <t/>
        </is>
      </c>
      <c r="CN159" s="100" t="inlineStr">
        <is>
          <t/>
        </is>
      </c>
      <c r="CO159" s="101" t="inlineStr">
        <is>
          <t/>
        </is>
      </c>
      <c r="CP159" s="102" t="inlineStr">
        <is>
          <t/>
        </is>
      </c>
      <c r="CQ159" s="103" t="inlineStr">
        <is>
          <t/>
        </is>
      </c>
      <c r="CR159" s="104" t="inlineStr">
        <is>
          <t/>
        </is>
      </c>
      <c r="CS159" s="105" t="inlineStr">
        <is>
          <t/>
        </is>
      </c>
      <c r="CT159" s="106" t="inlineStr">
        <is>
          <t/>
        </is>
      </c>
      <c r="CU159" s="107" t="inlineStr">
        <is>
          <t/>
        </is>
      </c>
      <c r="CV159" s="108" t="inlineStr">
        <is>
          <t/>
        </is>
      </c>
      <c r="CW159" s="109" t="inlineStr">
        <is>
          <t/>
        </is>
      </c>
      <c r="CX159" s="110" t="inlineStr">
        <is>
          <t/>
        </is>
      </c>
      <c r="CY159" s="111" t="inlineStr">
        <is>
          <t/>
        </is>
      </c>
      <c r="CZ159" s="112" t="inlineStr">
        <is>
          <t/>
        </is>
      </c>
      <c r="DA159" s="113" t="inlineStr">
        <is>
          <t/>
        </is>
      </c>
      <c r="DB159" s="114" t="inlineStr">
        <is>
          <t/>
        </is>
      </c>
      <c r="DC159" s="115" t="inlineStr">
        <is>
          <t/>
        </is>
      </c>
      <c r="DD159" s="116" t="inlineStr">
        <is>
          <t/>
        </is>
      </c>
      <c r="DE159" s="117" t="inlineStr">
        <is>
          <t/>
        </is>
      </c>
      <c r="DF159" s="118" t="inlineStr">
        <is>
          <t/>
        </is>
      </c>
      <c r="DG159" s="119" t="inlineStr">
        <is>
          <t/>
        </is>
      </c>
      <c r="DH159" s="120" t="inlineStr">
        <is>
          <t/>
        </is>
      </c>
      <c r="DI159" s="121" t="inlineStr">
        <is>
          <t/>
        </is>
      </c>
      <c r="DJ159" s="122" t="inlineStr">
        <is>
          <t/>
        </is>
      </c>
      <c r="DK159" s="123" t="inlineStr">
        <is>
          <t/>
        </is>
      </c>
      <c r="DL159" s="124" t="inlineStr">
        <is>
          <t/>
        </is>
      </c>
      <c r="DM159" s="125" t="inlineStr">
        <is>
          <t/>
        </is>
      </c>
      <c r="DN159" s="126" t="inlineStr">
        <is>
          <t/>
        </is>
      </c>
      <c r="DO159" s="127" t="inlineStr">
        <is>
          <t/>
        </is>
      </c>
      <c r="DP159" s="128" t="inlineStr">
        <is>
          <t/>
        </is>
      </c>
      <c r="DQ159" s="129" t="inlineStr">
        <is>
          <t/>
        </is>
      </c>
      <c r="DR159" s="130" t="inlineStr">
        <is>
          <t/>
        </is>
      </c>
      <c r="DS159" s="131" t="inlineStr">
        <is>
          <t/>
        </is>
      </c>
      <c r="DT159" s="132" t="inlineStr">
        <is>
          <t/>
        </is>
      </c>
      <c r="DU159" s="133" t="inlineStr">
        <is>
          <t/>
        </is>
      </c>
      <c r="DV159" s="134" t="inlineStr">
        <is>
          <t/>
        </is>
      </c>
      <c r="DW159" s="135" t="inlineStr">
        <is>
          <t/>
        </is>
      </c>
      <c r="DX159" s="136" t="inlineStr">
        <is>
          <t/>
        </is>
      </c>
      <c r="DY159" s="137" t="inlineStr">
        <is>
          <t>PitchBook Research</t>
        </is>
      </c>
      <c r="DZ159" s="785">
        <f>HYPERLINK("https://my.pitchbook.com?c=163902-52", "View company online")</f>
      </c>
    </row>
    <row r="160">
      <c r="A160" s="139" t="inlineStr">
        <is>
          <t>221656-87</t>
        </is>
      </c>
      <c r="B160" s="140" t="inlineStr">
        <is>
          <t>DVR</t>
        </is>
      </c>
      <c r="C160" s="141" t="inlineStr">
        <is>
          <t/>
        </is>
      </c>
      <c r="D160" s="142" t="inlineStr">
        <is>
          <t>Dive into VR</t>
        </is>
      </c>
      <c r="E160" s="143" t="inlineStr">
        <is>
          <t>221656-87</t>
        </is>
      </c>
      <c r="F160" s="144" t="inlineStr">
        <is>
          <t>Operator of a software development firm intended to create virtual reality and augmented reality software. The company's software development services are customized as per business and entertainment needs and users can play games virtual reality mode with their smartphone and mobile VR helmet.</t>
        </is>
      </c>
      <c r="G160" s="145" t="inlineStr">
        <is>
          <t>Information Technology</t>
        </is>
      </c>
      <c r="H160" s="146" t="inlineStr">
        <is>
          <t>Software</t>
        </is>
      </c>
      <c r="I160" s="147" t="inlineStr">
        <is>
          <t>Application Software</t>
        </is>
      </c>
      <c r="J160" s="148" t="inlineStr">
        <is>
          <t>Application Software*; Entertainment Software</t>
        </is>
      </c>
      <c r="K160" s="149" t="inlineStr">
        <is>
          <t>Mobile, Virtual Reality</t>
        </is>
      </c>
      <c r="L160" s="150" t="inlineStr">
        <is>
          <t>Venture Capital-Backed</t>
        </is>
      </c>
      <c r="M160" s="151" t="n">
        <v>4.12</v>
      </c>
      <c r="N160" s="152" t="inlineStr">
        <is>
          <t>Generating Revenue</t>
        </is>
      </c>
      <c r="O160" s="153" t="inlineStr">
        <is>
          <t>Privately Held (backing)</t>
        </is>
      </c>
      <c r="P160" s="154" t="inlineStr">
        <is>
          <t>Venture Capital</t>
        </is>
      </c>
      <c r="Q160" s="155" t="inlineStr">
        <is>
          <t>www.dive2vr.com</t>
        </is>
      </c>
      <c r="R160" s="156" t="inlineStr">
        <is>
          <t/>
        </is>
      </c>
      <c r="S160" s="157" t="inlineStr">
        <is>
          <t/>
        </is>
      </c>
      <c r="T160" s="158" t="inlineStr">
        <is>
          <t/>
        </is>
      </c>
      <c r="U160" s="159" t="n">
        <v>2016.0</v>
      </c>
      <c r="V160" s="160" t="inlineStr">
        <is>
          <t/>
        </is>
      </c>
      <c r="W160" s="161" t="inlineStr">
        <is>
          <t/>
        </is>
      </c>
      <c r="X160" s="162" t="inlineStr">
        <is>
          <t/>
        </is>
      </c>
      <c r="Y160" s="163" t="inlineStr">
        <is>
          <t/>
        </is>
      </c>
      <c r="Z160" s="164" t="inlineStr">
        <is>
          <t/>
        </is>
      </c>
      <c r="AA160" s="165" t="inlineStr">
        <is>
          <t/>
        </is>
      </c>
      <c r="AB160" s="166" t="inlineStr">
        <is>
          <t/>
        </is>
      </c>
      <c r="AC160" s="167" t="inlineStr">
        <is>
          <t/>
        </is>
      </c>
      <c r="AD160" s="168" t="inlineStr">
        <is>
          <t/>
        </is>
      </c>
      <c r="AE160" s="169" t="inlineStr">
        <is>
          <t>173127-25P</t>
        </is>
      </c>
      <c r="AF160" s="170" t="inlineStr">
        <is>
          <t>Mikhail Torkunov</t>
        </is>
      </c>
      <c r="AG160" s="171" t="inlineStr">
        <is>
          <t>Chief Executive Officer &amp; Co-Founder</t>
        </is>
      </c>
      <c r="AH160" s="172" t="inlineStr">
        <is>
          <t>m.torkunov@dive2vr.com</t>
        </is>
      </c>
      <c r="AI160" s="173" t="inlineStr">
        <is>
          <t/>
        </is>
      </c>
      <c r="AJ160" s="174" t="inlineStr">
        <is>
          <t>Moscow, Russia</t>
        </is>
      </c>
      <c r="AK160" s="175" t="inlineStr">
        <is>
          <t>2-Obydensky 11</t>
        </is>
      </c>
      <c r="AL160" s="176" t="inlineStr">
        <is>
          <t/>
        </is>
      </c>
      <c r="AM160" s="177" t="inlineStr">
        <is>
          <t>Moscow</t>
        </is>
      </c>
      <c r="AN160" s="178" t="inlineStr">
        <is>
          <t/>
        </is>
      </c>
      <c r="AO160" s="179" t="inlineStr">
        <is>
          <t>119034</t>
        </is>
      </c>
      <c r="AP160" s="180" t="inlineStr">
        <is>
          <t>Russia</t>
        </is>
      </c>
      <c r="AQ160" s="181" t="inlineStr">
        <is>
          <t/>
        </is>
      </c>
      <c r="AR160" s="182" t="inlineStr">
        <is>
          <t/>
        </is>
      </c>
      <c r="AS160" s="183" t="inlineStr">
        <is>
          <t>info@dive2vr.com</t>
        </is>
      </c>
      <c r="AT160" s="184" t="inlineStr">
        <is>
          <t>Europe</t>
        </is>
      </c>
      <c r="AU160" s="185" t="inlineStr">
        <is>
          <t>Eastern Europe</t>
        </is>
      </c>
      <c r="AV160" s="186" t="inlineStr">
        <is>
          <t>The company raised RUB 258 million of venture funding from RB Partners, Igor Lutz Sinyushina and other undisclosed investors on October 24, 2017.</t>
        </is>
      </c>
      <c r="AW160" s="187" t="inlineStr">
        <is>
          <t>Igor Lutz, RB Partners</t>
        </is>
      </c>
      <c r="AX160" s="188" t="n">
        <v>2.0</v>
      </c>
      <c r="AY160" s="189" t="inlineStr">
        <is>
          <t/>
        </is>
      </c>
      <c r="AZ160" s="190" t="inlineStr">
        <is>
          <t/>
        </is>
      </c>
      <c r="BA160" s="191" t="inlineStr">
        <is>
          <t/>
        </is>
      </c>
      <c r="BB160" s="192" t="inlineStr">
        <is>
          <t>RB Partners (www.rbpartners.ru)</t>
        </is>
      </c>
      <c r="BC160" s="193" t="inlineStr">
        <is>
          <t/>
        </is>
      </c>
      <c r="BD160" s="194" t="inlineStr">
        <is>
          <t/>
        </is>
      </c>
      <c r="BE160" s="195" t="inlineStr">
        <is>
          <t/>
        </is>
      </c>
      <c r="BF160" s="196" t="inlineStr">
        <is>
          <t/>
        </is>
      </c>
      <c r="BG160" s="197" t="n">
        <v>42491.0</v>
      </c>
      <c r="BH160" s="198" t="n">
        <v>0.32</v>
      </c>
      <c r="BI160" s="199" t="inlineStr">
        <is>
          <t>Actual</t>
        </is>
      </c>
      <c r="BJ160" s="200" t="inlineStr">
        <is>
          <t/>
        </is>
      </c>
      <c r="BK160" s="201" t="inlineStr">
        <is>
          <t/>
        </is>
      </c>
      <c r="BL160" s="202" t="inlineStr">
        <is>
          <t>Capitalization</t>
        </is>
      </c>
      <c r="BM160" s="203" t="inlineStr">
        <is>
          <t/>
        </is>
      </c>
      <c r="BN160" s="204" t="inlineStr">
        <is>
          <t/>
        </is>
      </c>
      <c r="BO160" s="205" t="inlineStr">
        <is>
          <t>Individual</t>
        </is>
      </c>
      <c r="BP160" s="206" t="inlineStr">
        <is>
          <t/>
        </is>
      </c>
      <c r="BQ160" s="207" t="inlineStr">
        <is>
          <t/>
        </is>
      </c>
      <c r="BR160" s="208" t="inlineStr">
        <is>
          <t/>
        </is>
      </c>
      <c r="BS160" s="209" t="inlineStr">
        <is>
          <t>Completed</t>
        </is>
      </c>
      <c r="BT160" s="210" t="n">
        <v>43032.0</v>
      </c>
      <c r="BU160" s="211" t="n">
        <v>3.8</v>
      </c>
      <c r="BV160" s="212" t="inlineStr">
        <is>
          <t>Estimated</t>
        </is>
      </c>
      <c r="BW160" s="213" t="inlineStr">
        <is>
          <t/>
        </is>
      </c>
      <c r="BX160" s="214" t="inlineStr">
        <is>
          <t/>
        </is>
      </c>
      <c r="BY160" s="215" t="inlineStr">
        <is>
          <t>Early Stage VC</t>
        </is>
      </c>
      <c r="BZ160" s="216" t="inlineStr">
        <is>
          <t/>
        </is>
      </c>
      <c r="CA160" s="217" t="inlineStr">
        <is>
          <t/>
        </is>
      </c>
      <c r="CB160" s="218" t="inlineStr">
        <is>
          <t>Venture Capital</t>
        </is>
      </c>
      <c r="CC160" s="219" t="inlineStr">
        <is>
          <t/>
        </is>
      </c>
      <c r="CD160" s="220" t="inlineStr">
        <is>
          <t/>
        </is>
      </c>
      <c r="CE160" s="221" t="inlineStr">
        <is>
          <t/>
        </is>
      </c>
      <c r="CF160" s="222" t="inlineStr">
        <is>
          <t>Completed</t>
        </is>
      </c>
      <c r="CG160" s="223" t="inlineStr">
        <is>
          <t>0,06%</t>
        </is>
      </c>
      <c r="CH160" s="224" t="inlineStr">
        <is>
          <t>79</t>
        </is>
      </c>
      <c r="CI160" s="225" t="inlineStr">
        <is>
          <t/>
        </is>
      </c>
      <c r="CJ160" s="226" t="inlineStr">
        <is>
          <t/>
        </is>
      </c>
      <c r="CK160" s="227" t="inlineStr">
        <is>
          <t/>
        </is>
      </c>
      <c r="CL160" s="228" t="inlineStr">
        <is>
          <t/>
        </is>
      </c>
      <c r="CM160" s="229" t="inlineStr">
        <is>
          <t>0,06%</t>
        </is>
      </c>
      <c r="CN160" s="230" t="inlineStr">
        <is>
          <t>51</t>
        </is>
      </c>
      <c r="CO160" s="231" t="inlineStr">
        <is>
          <t/>
        </is>
      </c>
      <c r="CP160" s="232" t="inlineStr">
        <is>
          <t/>
        </is>
      </c>
      <c r="CQ160" s="233" t="inlineStr">
        <is>
          <t/>
        </is>
      </c>
      <c r="CR160" s="234" t="inlineStr">
        <is>
          <t/>
        </is>
      </c>
      <c r="CS160" s="235" t="inlineStr">
        <is>
          <t>0,06%</t>
        </is>
      </c>
      <c r="CT160" s="236" t="inlineStr">
        <is>
          <t>50</t>
        </is>
      </c>
      <c r="CU160" s="237" t="inlineStr">
        <is>
          <t/>
        </is>
      </c>
      <c r="CV160" s="238" t="inlineStr">
        <is>
          <t/>
        </is>
      </c>
      <c r="CW160" s="239" t="inlineStr">
        <is>
          <t>0,55x</t>
        </is>
      </c>
      <c r="CX160" s="240" t="inlineStr">
        <is>
          <t>35</t>
        </is>
      </c>
      <c r="CY160" s="241" t="inlineStr">
        <is>
          <t/>
        </is>
      </c>
      <c r="CZ160" s="242" t="inlineStr">
        <is>
          <t/>
        </is>
      </c>
      <c r="DA160" s="243" t="inlineStr">
        <is>
          <t/>
        </is>
      </c>
      <c r="DB160" s="244" t="inlineStr">
        <is>
          <t/>
        </is>
      </c>
      <c r="DC160" s="245" t="inlineStr">
        <is>
          <t>0,55x</t>
        </is>
      </c>
      <c r="DD160" s="246" t="inlineStr">
        <is>
          <t>37</t>
        </is>
      </c>
      <c r="DE160" s="247" t="inlineStr">
        <is>
          <t/>
        </is>
      </c>
      <c r="DF160" s="248" t="inlineStr">
        <is>
          <t/>
        </is>
      </c>
      <c r="DG160" s="249" t="inlineStr">
        <is>
          <t/>
        </is>
      </c>
      <c r="DH160" s="250" t="inlineStr">
        <is>
          <t/>
        </is>
      </c>
      <c r="DI160" s="251" t="inlineStr">
        <is>
          <t>0,55x</t>
        </is>
      </c>
      <c r="DJ160" s="252" t="inlineStr">
        <is>
          <t>40</t>
        </is>
      </c>
      <c r="DK160" s="253" t="inlineStr">
        <is>
          <t/>
        </is>
      </c>
      <c r="DL160" s="254" t="inlineStr">
        <is>
          <t/>
        </is>
      </c>
      <c r="DM160" s="255" t="inlineStr">
        <is>
          <t/>
        </is>
      </c>
      <c r="DN160" s="256" t="inlineStr">
        <is>
          <t/>
        </is>
      </c>
      <c r="DO160" s="257" t="inlineStr">
        <is>
          <t/>
        </is>
      </c>
      <c r="DP160" s="258" t="inlineStr">
        <is>
          <t>434</t>
        </is>
      </c>
      <c r="DQ160" s="259" t="inlineStr">
        <is>
          <t>1</t>
        </is>
      </c>
      <c r="DR160" s="260" t="inlineStr">
        <is>
          <t>0,23%</t>
        </is>
      </c>
      <c r="DS160" s="261" t="inlineStr">
        <is>
          <t>2</t>
        </is>
      </c>
      <c r="DT160" s="262" t="inlineStr">
        <is>
          <t>0</t>
        </is>
      </c>
      <c r="DU160" s="263" t="inlineStr">
        <is>
          <t>0,00%</t>
        </is>
      </c>
      <c r="DV160" s="264" t="inlineStr">
        <is>
          <t/>
        </is>
      </c>
      <c r="DW160" s="265" t="inlineStr">
        <is>
          <t/>
        </is>
      </c>
      <c r="DX160" s="266" t="inlineStr">
        <is>
          <t/>
        </is>
      </c>
      <c r="DY160" s="267" t="inlineStr">
        <is>
          <t>PitchBook Research</t>
        </is>
      </c>
      <c r="DZ160" s="786">
        <f>HYPERLINK("https://my.pitchbook.com?c=221656-87", "View company online")</f>
      </c>
    </row>
    <row r="161">
      <c r="A161" s="9" t="inlineStr">
        <is>
          <t>186045-22</t>
        </is>
      </c>
      <c r="B161" s="10" t="inlineStr">
        <is>
          <t>InDriver</t>
        </is>
      </c>
      <c r="C161" s="11" t="inlineStr">
        <is>
          <t/>
        </is>
      </c>
      <c r="D161" s="12" t="inlineStr">
        <is>
          <t/>
        </is>
      </c>
      <c r="E161" s="13" t="inlineStr">
        <is>
          <t>186045-22</t>
        </is>
      </c>
      <c r="F161" s="14" t="inlineStr">
        <is>
          <t>Provide r of passenger, freight and intercity transportation services. The company's mobile application offers bid-style service where the passenger enters the price he or she is willing to pay, while the driver accepts the order only upon agreement of the fare.</t>
        </is>
      </c>
      <c r="G161" s="15" t="inlineStr">
        <is>
          <t>Consumer Products and Services (B2C)</t>
        </is>
      </c>
      <c r="H161" s="16" t="inlineStr">
        <is>
          <t>Transportation</t>
        </is>
      </c>
      <c r="I161" s="17" t="inlineStr">
        <is>
          <t>Automotive</t>
        </is>
      </c>
      <c r="J161" s="18" t="inlineStr">
        <is>
          <t>Automotive*; Application Software</t>
        </is>
      </c>
      <c r="K161" s="19" t="inlineStr">
        <is>
          <t>Mobile</t>
        </is>
      </c>
      <c r="L161" s="20" t="inlineStr">
        <is>
          <t>Venture Capital-Backed</t>
        </is>
      </c>
      <c r="M161" s="21" t="n">
        <v>4.19</v>
      </c>
      <c r="N161" s="22" t="inlineStr">
        <is>
          <t>Profitable</t>
        </is>
      </c>
      <c r="O161" s="23" t="inlineStr">
        <is>
          <t>Acquired/Merged (Operating Subsidiary)</t>
        </is>
      </c>
      <c r="P161" s="24" t="inlineStr">
        <is>
          <t>Venture Capital, M&amp;A</t>
        </is>
      </c>
      <c r="Q161" s="25" t="inlineStr">
        <is>
          <t>www.indriver.ru</t>
        </is>
      </c>
      <c r="R161" s="26" t="inlineStr">
        <is>
          <t/>
        </is>
      </c>
      <c r="S161" s="27" t="inlineStr">
        <is>
          <t/>
        </is>
      </c>
      <c r="T161" s="28" t="inlineStr">
        <is>
          <t/>
        </is>
      </c>
      <c r="U161" s="29" t="n">
        <v>2012.0</v>
      </c>
      <c r="V161" s="30" t="inlineStr">
        <is>
          <t>Sinet</t>
        </is>
      </c>
      <c r="W161" s="31" t="inlineStr">
        <is>
          <t/>
        </is>
      </c>
      <c r="X161" s="32" t="inlineStr">
        <is>
          <t/>
        </is>
      </c>
      <c r="Y161" s="33" t="inlineStr">
        <is>
          <t/>
        </is>
      </c>
      <c r="Z161" s="34" t="inlineStr">
        <is>
          <t/>
        </is>
      </c>
      <c r="AA161" s="35" t="inlineStr">
        <is>
          <t/>
        </is>
      </c>
      <c r="AB161" s="36" t="inlineStr">
        <is>
          <t/>
        </is>
      </c>
      <c r="AC161" s="37" t="inlineStr">
        <is>
          <t/>
        </is>
      </c>
      <c r="AD161" s="38" t="inlineStr">
        <is>
          <t/>
        </is>
      </c>
      <c r="AE161" s="39" t="inlineStr">
        <is>
          <t>170462-17P</t>
        </is>
      </c>
      <c r="AF161" s="40" t="inlineStr">
        <is>
          <t>Arsen Tomskiy</t>
        </is>
      </c>
      <c r="AG161" s="41" t="inlineStr">
        <is>
          <t>Chief Executive Officer &amp; Founder</t>
        </is>
      </c>
      <c r="AH161" s="42" t="inlineStr">
        <is>
          <t>arsen@indriver.com</t>
        </is>
      </c>
      <c r="AI161" s="43" t="inlineStr">
        <is>
          <t>+7 (8)800 500 1442</t>
        </is>
      </c>
      <c r="AJ161" s="44" t="inlineStr">
        <is>
          <t>Yakutsk, Russia</t>
        </is>
      </c>
      <c r="AK161" s="45" t="inlineStr">
        <is>
          <t>PO Box 58</t>
        </is>
      </c>
      <c r="AL161" s="46" t="inlineStr">
        <is>
          <t/>
        </is>
      </c>
      <c r="AM161" s="47" t="inlineStr">
        <is>
          <t>Yakutsk</t>
        </is>
      </c>
      <c r="AN161" s="48" t="inlineStr">
        <is>
          <t/>
        </is>
      </c>
      <c r="AO161" s="49" t="inlineStr">
        <is>
          <t>677018</t>
        </is>
      </c>
      <c r="AP161" s="50" t="inlineStr">
        <is>
          <t>Russia</t>
        </is>
      </c>
      <c r="AQ161" s="51" t="inlineStr">
        <is>
          <t>+7 (8)800 500 1442</t>
        </is>
      </c>
      <c r="AR161" s="52" t="inlineStr">
        <is>
          <t>+7 (8)499 322 3542</t>
        </is>
      </c>
      <c r="AS161" s="53" t="inlineStr">
        <is>
          <t>info@indriver.ru</t>
        </is>
      </c>
      <c r="AT161" s="54" t="inlineStr">
        <is>
          <t>Europe</t>
        </is>
      </c>
      <c r="AU161" s="55" t="inlineStr">
        <is>
          <t>Eastern Europe</t>
        </is>
      </c>
      <c r="AV161" s="56" t="inlineStr">
        <is>
          <t>The company raised $5 million of Series A venture funding from Leta Capital on September 8, 2017. The company will use this funding to launch inDriver in India, the USA and Canada.</t>
        </is>
      </c>
      <c r="AW161" s="57" t="inlineStr">
        <is>
          <t>Leta Capital, Sinet</t>
        </is>
      </c>
      <c r="AX161" s="58" t="n">
        <v>2.0</v>
      </c>
      <c r="AY161" s="59" t="inlineStr">
        <is>
          <t/>
        </is>
      </c>
      <c r="AZ161" s="60" t="inlineStr">
        <is>
          <t/>
        </is>
      </c>
      <c r="BA161" s="61" t="inlineStr">
        <is>
          <t/>
        </is>
      </c>
      <c r="BB161" s="62" t="inlineStr">
        <is>
          <t>Leta Capital (en.leta.vc), Sinet (sinetgroup.ru)</t>
        </is>
      </c>
      <c r="BC161" s="63" t="inlineStr">
        <is>
          <t/>
        </is>
      </c>
      <c r="BD161" s="64" t="inlineStr">
        <is>
          <t/>
        </is>
      </c>
      <c r="BE161" s="65" t="inlineStr">
        <is>
          <t/>
        </is>
      </c>
      <c r="BF161" s="66" t="inlineStr">
        <is>
          <t/>
        </is>
      </c>
      <c r="BG161" s="67" t="n">
        <v>41275.0</v>
      </c>
      <c r="BH161" s="68" t="inlineStr">
        <is>
          <t/>
        </is>
      </c>
      <c r="BI161" s="69" t="inlineStr">
        <is>
          <t/>
        </is>
      </c>
      <c r="BJ161" s="70" t="inlineStr">
        <is>
          <t/>
        </is>
      </c>
      <c r="BK161" s="71" t="inlineStr">
        <is>
          <t/>
        </is>
      </c>
      <c r="BL161" s="72" t="inlineStr">
        <is>
          <t>Merger/Acquisition</t>
        </is>
      </c>
      <c r="BM161" s="73" t="inlineStr">
        <is>
          <t/>
        </is>
      </c>
      <c r="BN161" s="74" t="inlineStr">
        <is>
          <t/>
        </is>
      </c>
      <c r="BO161" s="75" t="inlineStr">
        <is>
          <t>Corporate</t>
        </is>
      </c>
      <c r="BP161" s="76" t="inlineStr">
        <is>
          <t/>
        </is>
      </c>
      <c r="BQ161" s="77" t="inlineStr">
        <is>
          <t/>
        </is>
      </c>
      <c r="BR161" s="78" t="inlineStr">
        <is>
          <t/>
        </is>
      </c>
      <c r="BS161" s="79" t="inlineStr">
        <is>
          <t>Completed</t>
        </is>
      </c>
      <c r="BT161" s="80" t="n">
        <v>42986.0</v>
      </c>
      <c r="BU161" s="81" t="n">
        <v>4.19</v>
      </c>
      <c r="BV161" s="82" t="inlineStr">
        <is>
          <t>Actual</t>
        </is>
      </c>
      <c r="BW161" s="83" t="inlineStr">
        <is>
          <t/>
        </is>
      </c>
      <c r="BX161" s="84" t="inlineStr">
        <is>
          <t/>
        </is>
      </c>
      <c r="BY161" s="85" t="inlineStr">
        <is>
          <t>Early Stage VC</t>
        </is>
      </c>
      <c r="BZ161" s="86" t="inlineStr">
        <is>
          <t>Series A</t>
        </is>
      </c>
      <c r="CA161" s="87" t="inlineStr">
        <is>
          <t/>
        </is>
      </c>
      <c r="CB161" s="88" t="inlineStr">
        <is>
          <t>Venture Capital</t>
        </is>
      </c>
      <c r="CC161" s="89" t="inlineStr">
        <is>
          <t/>
        </is>
      </c>
      <c r="CD161" s="90" t="inlineStr">
        <is>
          <t/>
        </is>
      </c>
      <c r="CE161" s="91" t="inlineStr">
        <is>
          <t/>
        </is>
      </c>
      <c r="CF161" s="92" t="inlineStr">
        <is>
          <t>Completed</t>
        </is>
      </c>
      <c r="CG161" s="93" t="inlineStr">
        <is>
          <t>1,13%</t>
        </is>
      </c>
      <c r="CH161" s="94" t="inlineStr">
        <is>
          <t>95</t>
        </is>
      </c>
      <c r="CI161" s="95" t="inlineStr">
        <is>
          <t>0,03%</t>
        </is>
      </c>
      <c r="CJ161" s="96" t="inlineStr">
        <is>
          <t>3,15%</t>
        </is>
      </c>
      <c r="CK161" s="97" t="inlineStr">
        <is>
          <t>0,00%</t>
        </is>
      </c>
      <c r="CL161" s="98" t="inlineStr">
        <is>
          <t>28</t>
        </is>
      </c>
      <c r="CM161" s="99" t="inlineStr">
        <is>
          <t>0,21%</t>
        </is>
      </c>
      <c r="CN161" s="100" t="inlineStr">
        <is>
          <t>72</t>
        </is>
      </c>
      <c r="CO161" s="101" t="inlineStr">
        <is>
          <t/>
        </is>
      </c>
      <c r="CP161" s="102" t="inlineStr">
        <is>
          <t/>
        </is>
      </c>
      <c r="CQ161" s="103" t="inlineStr">
        <is>
          <t>0,00%</t>
        </is>
      </c>
      <c r="CR161" s="104" t="inlineStr">
        <is>
          <t>20</t>
        </is>
      </c>
      <c r="CS161" s="105" t="inlineStr">
        <is>
          <t>0,29%</t>
        </is>
      </c>
      <c r="CT161" s="106" t="inlineStr">
        <is>
          <t>77</t>
        </is>
      </c>
      <c r="CU161" s="107" t="inlineStr">
        <is>
          <t>0,12%</t>
        </is>
      </c>
      <c r="CV161" s="108" t="inlineStr">
        <is>
          <t>68</t>
        </is>
      </c>
      <c r="CW161" s="109" t="inlineStr">
        <is>
          <t>1,22x</t>
        </is>
      </c>
      <c r="CX161" s="110" t="inlineStr">
        <is>
          <t>54</t>
        </is>
      </c>
      <c r="CY161" s="111" t="inlineStr">
        <is>
          <t>0,03x</t>
        </is>
      </c>
      <c r="CZ161" s="112" t="inlineStr">
        <is>
          <t>2,54%</t>
        </is>
      </c>
      <c r="DA161" s="113" t="inlineStr">
        <is>
          <t>0,36x</t>
        </is>
      </c>
      <c r="DB161" s="114" t="inlineStr">
        <is>
          <t>27</t>
        </is>
      </c>
      <c r="DC161" s="115" t="inlineStr">
        <is>
          <t>2,26x</t>
        </is>
      </c>
      <c r="DD161" s="116" t="inlineStr">
        <is>
          <t>64</t>
        </is>
      </c>
      <c r="DE161" s="117" t="inlineStr">
        <is>
          <t/>
        </is>
      </c>
      <c r="DF161" s="118" t="inlineStr">
        <is>
          <t/>
        </is>
      </c>
      <c r="DG161" s="119" t="inlineStr">
        <is>
          <t>0,36x</t>
        </is>
      </c>
      <c r="DH161" s="120" t="inlineStr">
        <is>
          <t>29</t>
        </is>
      </c>
      <c r="DI161" s="121" t="inlineStr">
        <is>
          <t>3,41x</t>
        </is>
      </c>
      <c r="DJ161" s="122" t="inlineStr">
        <is>
          <t>70</t>
        </is>
      </c>
      <c r="DK161" s="123" t="inlineStr">
        <is>
          <t>1,11x</t>
        </is>
      </c>
      <c r="DL161" s="124" t="inlineStr">
        <is>
          <t>52</t>
        </is>
      </c>
      <c r="DM161" s="125" t="inlineStr">
        <is>
          <t/>
        </is>
      </c>
      <c r="DN161" s="126" t="inlineStr">
        <is>
          <t/>
        </is>
      </c>
      <c r="DO161" s="127" t="inlineStr">
        <is>
          <t/>
        </is>
      </c>
      <c r="DP161" s="128" t="inlineStr">
        <is>
          <t>2.667</t>
        </is>
      </c>
      <c r="DQ161" s="129" t="inlineStr">
        <is>
          <t>46</t>
        </is>
      </c>
      <c r="DR161" s="130" t="inlineStr">
        <is>
          <t>1,76%</t>
        </is>
      </c>
      <c r="DS161" s="131" t="inlineStr">
        <is>
          <t>12</t>
        </is>
      </c>
      <c r="DT161" s="132" t="inlineStr">
        <is>
          <t>0</t>
        </is>
      </c>
      <c r="DU161" s="133" t="inlineStr">
        <is>
          <t>0,00%</t>
        </is>
      </c>
      <c r="DV161" s="134" t="inlineStr">
        <is>
          <t>415</t>
        </is>
      </c>
      <c r="DW161" s="135" t="inlineStr">
        <is>
          <t>2</t>
        </is>
      </c>
      <c r="DX161" s="136" t="inlineStr">
        <is>
          <t>0,48%</t>
        </is>
      </c>
      <c r="DY161" s="137" t="inlineStr">
        <is>
          <t>PitchBook Research</t>
        </is>
      </c>
      <c r="DZ161" s="785">
        <f>HYPERLINK("https://my.pitchbook.com?c=186045-22", "View company online")</f>
      </c>
    </row>
    <row r="162">
      <c r="A162" s="139" t="inlineStr">
        <is>
          <t>222545-62</t>
        </is>
      </c>
      <c r="B162" s="140" t="inlineStr">
        <is>
          <t>Simedis</t>
        </is>
      </c>
      <c r="C162" s="141" t="inlineStr">
        <is>
          <t/>
        </is>
      </c>
      <c r="D162" s="142" t="inlineStr">
        <is>
          <t/>
        </is>
      </c>
      <c r="E162" s="143" t="inlineStr">
        <is>
          <t>222545-62</t>
        </is>
      </c>
      <c r="F162" s="144" t="inlineStr">
        <is>
          <t>Developer of virtual reality simulators designed to shorten medical training and increase patient safety. The company's virtual reality simulators for medical education and training in all minimally invasive specialist areas including patient-individual simulation, enabling physicians, medical device manufacturers and universities to receive an eye-catching and cost-effective marketing and training tool in a customized version for their composition.</t>
        </is>
      </c>
      <c r="G162" s="145" t="inlineStr">
        <is>
          <t>Healthcare</t>
        </is>
      </c>
      <c r="H162" s="146" t="inlineStr">
        <is>
          <t>Pharmaceuticals and Biotechnology</t>
        </is>
      </c>
      <c r="I162" s="147" t="inlineStr">
        <is>
          <t>Discovery Tools (Healthcare)</t>
        </is>
      </c>
      <c r="J162" s="148" t="inlineStr">
        <is>
          <t>Discovery Tools (Healthcare)*; Other Healthcare Technology Systems</t>
        </is>
      </c>
      <c r="K162" s="149" t="inlineStr">
        <is>
          <t>Virtual Reality</t>
        </is>
      </c>
      <c r="L162" s="150" t="inlineStr">
        <is>
          <t>Venture Capital-Backed</t>
        </is>
      </c>
      <c r="M162" s="151" t="n">
        <v>4.25</v>
      </c>
      <c r="N162" s="152" t="inlineStr">
        <is>
          <t>Generating Revenue</t>
        </is>
      </c>
      <c r="O162" s="153" t="inlineStr">
        <is>
          <t>Privately Held (backing)</t>
        </is>
      </c>
      <c r="P162" s="154" t="inlineStr">
        <is>
          <t>Venture Capital</t>
        </is>
      </c>
      <c r="Q162" s="155" t="inlineStr">
        <is>
          <t>www.simedis.com</t>
        </is>
      </c>
      <c r="R162" s="156" t="n">
        <v>15.0</v>
      </c>
      <c r="S162" s="157" t="inlineStr">
        <is>
          <t/>
        </is>
      </c>
      <c r="T162" s="158" t="inlineStr">
        <is>
          <t/>
        </is>
      </c>
      <c r="U162" s="159" t="n">
        <v>2014.0</v>
      </c>
      <c r="V162" s="160" t="inlineStr">
        <is>
          <t/>
        </is>
      </c>
      <c r="W162" s="161" t="inlineStr">
        <is>
          <t/>
        </is>
      </c>
      <c r="X162" s="162" t="inlineStr">
        <is>
          <r>
            <rPr>
              <b/>
              <color rgb="ff26854d"/>
              <rFont val="Arial"/>
              <sz val="8.0"/>
            </rPr>
            <t>New Company</t>
          </r>
        </is>
      </c>
      <c r="Y162" s="163" t="inlineStr">
        <is>
          <t/>
        </is>
      </c>
      <c r="Z162" s="164" t="inlineStr">
        <is>
          <t/>
        </is>
      </c>
      <c r="AA162" s="165" t="inlineStr">
        <is>
          <t/>
        </is>
      </c>
      <c r="AB162" s="166" t="inlineStr">
        <is>
          <t/>
        </is>
      </c>
      <c r="AC162" s="167" t="inlineStr">
        <is>
          <t/>
        </is>
      </c>
      <c r="AD162" s="168" t="inlineStr">
        <is>
          <t/>
        </is>
      </c>
      <c r="AE162" s="169" t="inlineStr">
        <is>
          <t>175175-83P</t>
        </is>
      </c>
      <c r="AF162" s="170" t="inlineStr">
        <is>
          <t>Robert Vuckovic</t>
        </is>
      </c>
      <c r="AG162" s="171" t="inlineStr">
        <is>
          <t>Co-Founder &amp; Chairman</t>
        </is>
      </c>
      <c r="AH162" s="172" t="inlineStr">
        <is>
          <t>robert.vuckovic@simedis.com</t>
        </is>
      </c>
      <c r="AI162" s="173" t="inlineStr">
        <is>
          <t>+41 (0)71 801 9615</t>
        </is>
      </c>
      <c r="AJ162" s="174" t="inlineStr">
        <is>
          <t>Saint Gallen, Switzerland</t>
        </is>
      </c>
      <c r="AK162" s="175" t="inlineStr">
        <is>
          <t>Bürglistrasse 8</t>
        </is>
      </c>
      <c r="AL162" s="176" t="inlineStr">
        <is>
          <t/>
        </is>
      </c>
      <c r="AM162" s="177" t="inlineStr">
        <is>
          <t>Saint Gallen</t>
        </is>
      </c>
      <c r="AN162" s="178" t="inlineStr">
        <is>
          <t/>
        </is>
      </c>
      <c r="AO162" s="179" t="inlineStr">
        <is>
          <t>9000</t>
        </is>
      </c>
      <c r="AP162" s="180" t="inlineStr">
        <is>
          <t>Switzerland</t>
        </is>
      </c>
      <c r="AQ162" s="181" t="inlineStr">
        <is>
          <t>+41 (0)71 801 9615</t>
        </is>
      </c>
      <c r="AR162" s="182" t="inlineStr">
        <is>
          <t/>
        </is>
      </c>
      <c r="AS162" s="183" t="inlineStr">
        <is>
          <t>info@simedis.com</t>
        </is>
      </c>
      <c r="AT162" s="184" t="inlineStr">
        <is>
          <t>Europe</t>
        </is>
      </c>
      <c r="AU162" s="185" t="inlineStr">
        <is>
          <t>Western Europe</t>
        </is>
      </c>
      <c r="AV162" s="186" t="inlineStr">
        <is>
          <t>The company raised EUR 4.25 million of venture funding from undisclosed investors on November 24, 2017. The company plans to use the proceeds to expand the team to 30 people and thus speed up the demand.</t>
        </is>
      </c>
      <c r="AW162" s="187" t="inlineStr">
        <is>
          <t/>
        </is>
      </c>
      <c r="AX162" s="188" t="inlineStr">
        <is>
          <t/>
        </is>
      </c>
      <c r="AY162" s="189" t="inlineStr">
        <is>
          <t/>
        </is>
      </c>
      <c r="AZ162" s="190" t="inlineStr">
        <is>
          <t/>
        </is>
      </c>
      <c r="BA162" s="191" t="inlineStr">
        <is>
          <t/>
        </is>
      </c>
      <c r="BB162" s="192" t="inlineStr">
        <is>
          <t/>
        </is>
      </c>
      <c r="BC162" s="193" t="inlineStr">
        <is>
          <t/>
        </is>
      </c>
      <c r="BD162" s="194" t="inlineStr">
        <is>
          <t/>
        </is>
      </c>
      <c r="BE162" s="195" t="inlineStr">
        <is>
          <t/>
        </is>
      </c>
      <c r="BF162" s="196" t="inlineStr">
        <is>
          <t/>
        </is>
      </c>
      <c r="BG162" s="197" t="n">
        <v>43063.0</v>
      </c>
      <c r="BH162" s="198" t="n">
        <v>4.25</v>
      </c>
      <c r="BI162" s="199" t="inlineStr">
        <is>
          <t>Actual</t>
        </is>
      </c>
      <c r="BJ162" s="200" t="inlineStr">
        <is>
          <t/>
        </is>
      </c>
      <c r="BK162" s="201" t="inlineStr">
        <is>
          <t/>
        </is>
      </c>
      <c r="BL162" s="202" t="inlineStr">
        <is>
          <t>Early Stage VC</t>
        </is>
      </c>
      <c r="BM162" s="203" t="inlineStr">
        <is>
          <t/>
        </is>
      </c>
      <c r="BN162" s="204" t="inlineStr">
        <is>
          <t/>
        </is>
      </c>
      <c r="BO162" s="205" t="inlineStr">
        <is>
          <t>Venture Capital</t>
        </is>
      </c>
      <c r="BP162" s="206" t="inlineStr">
        <is>
          <t/>
        </is>
      </c>
      <c r="BQ162" s="207" t="inlineStr">
        <is>
          <t/>
        </is>
      </c>
      <c r="BR162" s="208" t="inlineStr">
        <is>
          <t/>
        </is>
      </c>
      <c r="BS162" s="209" t="inlineStr">
        <is>
          <t>Completed</t>
        </is>
      </c>
      <c r="BT162" s="210" t="n">
        <v>43063.0</v>
      </c>
      <c r="BU162" s="211" t="n">
        <v>4.25</v>
      </c>
      <c r="BV162" s="212" t="inlineStr">
        <is>
          <t>Actual</t>
        </is>
      </c>
      <c r="BW162" s="213" t="inlineStr">
        <is>
          <t/>
        </is>
      </c>
      <c r="BX162" s="214" t="inlineStr">
        <is>
          <t/>
        </is>
      </c>
      <c r="BY162" s="215" t="inlineStr">
        <is>
          <t>Early Stage VC</t>
        </is>
      </c>
      <c r="BZ162" s="216" t="inlineStr">
        <is>
          <t/>
        </is>
      </c>
      <c r="CA162" s="217" t="inlineStr">
        <is>
          <t/>
        </is>
      </c>
      <c r="CB162" s="218" t="inlineStr">
        <is>
          <t>Venture Capital</t>
        </is>
      </c>
      <c r="CC162" s="219" t="inlineStr">
        <is>
          <t/>
        </is>
      </c>
      <c r="CD162" s="220" t="inlineStr">
        <is>
          <t/>
        </is>
      </c>
      <c r="CE162" s="221" t="inlineStr">
        <is>
          <t/>
        </is>
      </c>
      <c r="CF162" s="222" t="inlineStr">
        <is>
          <t>Completed</t>
        </is>
      </c>
      <c r="CG162" s="223" t="inlineStr">
        <is>
          <t/>
        </is>
      </c>
      <c r="CH162" s="224" t="inlineStr">
        <is>
          <t/>
        </is>
      </c>
      <c r="CI162" s="225" t="inlineStr">
        <is>
          <t/>
        </is>
      </c>
      <c r="CJ162" s="226" t="inlineStr">
        <is>
          <t/>
        </is>
      </c>
      <c r="CK162" s="227" t="inlineStr">
        <is>
          <t/>
        </is>
      </c>
      <c r="CL162" s="228" t="inlineStr">
        <is>
          <t/>
        </is>
      </c>
      <c r="CM162" s="229" t="inlineStr">
        <is>
          <t/>
        </is>
      </c>
      <c r="CN162" s="230" t="inlineStr">
        <is>
          <t/>
        </is>
      </c>
      <c r="CO162" s="231" t="inlineStr">
        <is>
          <t/>
        </is>
      </c>
      <c r="CP162" s="232" t="inlineStr">
        <is>
          <t/>
        </is>
      </c>
      <c r="CQ162" s="233" t="inlineStr">
        <is>
          <t/>
        </is>
      </c>
      <c r="CR162" s="234" t="inlineStr">
        <is>
          <t/>
        </is>
      </c>
      <c r="CS162" s="235" t="inlineStr">
        <is>
          <t/>
        </is>
      </c>
      <c r="CT162" s="236" t="inlineStr">
        <is>
          <t/>
        </is>
      </c>
      <c r="CU162" s="237" t="inlineStr">
        <is>
          <t/>
        </is>
      </c>
      <c r="CV162" s="238" t="inlineStr">
        <is>
          <t/>
        </is>
      </c>
      <c r="CW162" s="239" t="inlineStr">
        <is>
          <t/>
        </is>
      </c>
      <c r="CX162" s="240" t="inlineStr">
        <is>
          <t/>
        </is>
      </c>
      <c r="CY162" s="241" t="inlineStr">
        <is>
          <t/>
        </is>
      </c>
      <c r="CZ162" s="242" t="inlineStr">
        <is>
          <t/>
        </is>
      </c>
      <c r="DA162" s="243" t="inlineStr">
        <is>
          <t/>
        </is>
      </c>
      <c r="DB162" s="244" t="inlineStr">
        <is>
          <t/>
        </is>
      </c>
      <c r="DC162" s="245" t="inlineStr">
        <is>
          <t/>
        </is>
      </c>
      <c r="DD162" s="246" t="inlineStr">
        <is>
          <t/>
        </is>
      </c>
      <c r="DE162" s="247" t="inlineStr">
        <is>
          <t/>
        </is>
      </c>
      <c r="DF162" s="248" t="inlineStr">
        <is>
          <t/>
        </is>
      </c>
      <c r="DG162" s="249" t="inlineStr">
        <is>
          <t/>
        </is>
      </c>
      <c r="DH162" s="250" t="inlineStr">
        <is>
          <t/>
        </is>
      </c>
      <c r="DI162" s="251" t="inlineStr">
        <is>
          <t/>
        </is>
      </c>
      <c r="DJ162" s="252" t="inlineStr">
        <is>
          <t/>
        </is>
      </c>
      <c r="DK162" s="253" t="inlineStr">
        <is>
          <t/>
        </is>
      </c>
      <c r="DL162" s="254" t="inlineStr">
        <is>
          <t/>
        </is>
      </c>
      <c r="DM162" s="255" t="inlineStr">
        <is>
          <t/>
        </is>
      </c>
      <c r="DN162" s="256" t="inlineStr">
        <is>
          <t/>
        </is>
      </c>
      <c r="DO162" s="257" t="inlineStr">
        <is>
          <t/>
        </is>
      </c>
      <c r="DP162" s="258" t="inlineStr">
        <is>
          <t/>
        </is>
      </c>
      <c r="DQ162" s="259" t="inlineStr">
        <is>
          <t/>
        </is>
      </c>
      <c r="DR162" s="260" t="inlineStr">
        <is>
          <t/>
        </is>
      </c>
      <c r="DS162" s="261" t="inlineStr">
        <is>
          <t/>
        </is>
      </c>
      <c r="DT162" s="262" t="inlineStr">
        <is>
          <t/>
        </is>
      </c>
      <c r="DU162" s="263" t="inlineStr">
        <is>
          <t/>
        </is>
      </c>
      <c r="DV162" s="264" t="inlineStr">
        <is>
          <t/>
        </is>
      </c>
      <c r="DW162" s="265" t="inlineStr">
        <is>
          <t/>
        </is>
      </c>
      <c r="DX162" s="266" t="inlineStr">
        <is>
          <t/>
        </is>
      </c>
      <c r="DY162" s="267" t="inlineStr">
        <is>
          <t>PitchBook Research</t>
        </is>
      </c>
      <c r="DZ162" s="786">
        <f>HYPERLINK("https://my.pitchbook.com?c=222545-62", "View company online")</f>
      </c>
    </row>
    <row r="163">
      <c r="A163" s="9" t="inlineStr">
        <is>
          <t>172630-99</t>
        </is>
      </c>
      <c r="B163" s="10" t="inlineStr">
        <is>
          <t>Coverfy</t>
        </is>
      </c>
      <c r="C163" s="11" t="inlineStr">
        <is>
          <t/>
        </is>
      </c>
      <c r="D163" s="12" t="inlineStr">
        <is>
          <t/>
        </is>
      </c>
      <c r="E163" s="13" t="inlineStr">
        <is>
          <t>172630-99</t>
        </is>
      </c>
      <c r="F163" s="14" t="inlineStr">
        <is>
          <t>Provider of an online insurance brokerage services platform created to revolutionize the way we relate to our personal insurance. The company's mobile platform for insurance services optimizes and manages all insurance from mobile devices while offering a free optimization and improvement service, enabling users to centralize this management with any insurer from the mobile, thus saving time and money without worrying about paperwork, paperwork or renewal dates.</t>
        </is>
      </c>
      <c r="G163" s="15" t="inlineStr">
        <is>
          <t>Information Technology</t>
        </is>
      </c>
      <c r="H163" s="16" t="inlineStr">
        <is>
          <t>Software</t>
        </is>
      </c>
      <c r="I163" s="17" t="inlineStr">
        <is>
          <t>Financial Software</t>
        </is>
      </c>
      <c r="J163" s="18" t="inlineStr">
        <is>
          <t>Financial Software*; Social/Platform Software</t>
        </is>
      </c>
      <c r="K163" s="19" t="inlineStr">
        <is>
          <t>FinTech, InsurTech, Mobile</t>
        </is>
      </c>
      <c r="L163" s="20" t="inlineStr">
        <is>
          <t>Venture Capital-Backed</t>
        </is>
      </c>
      <c r="M163" s="21" t="n">
        <v>4.25</v>
      </c>
      <c r="N163" s="22" t="inlineStr">
        <is>
          <t>Generating Revenue</t>
        </is>
      </c>
      <c r="O163" s="23" t="inlineStr">
        <is>
          <t>Privately Held (backing)</t>
        </is>
      </c>
      <c r="P163" s="24" t="inlineStr">
        <is>
          <t>Venture Capital</t>
        </is>
      </c>
      <c r="Q163" s="25" t="inlineStr">
        <is>
          <t>www.coverfy.com</t>
        </is>
      </c>
      <c r="R163" s="26" t="n">
        <v>29.0</v>
      </c>
      <c r="S163" s="27" t="inlineStr">
        <is>
          <t/>
        </is>
      </c>
      <c r="T163" s="28" t="inlineStr">
        <is>
          <t/>
        </is>
      </c>
      <c r="U163" s="29" t="n">
        <v>2016.0</v>
      </c>
      <c r="V163" s="30" t="inlineStr">
        <is>
          <t/>
        </is>
      </c>
      <c r="W163" s="31" t="inlineStr">
        <is>
          <t/>
        </is>
      </c>
      <c r="X163" s="32" t="inlineStr">
        <is>
          <t/>
        </is>
      </c>
      <c r="Y163" s="33" t="inlineStr">
        <is>
          <t/>
        </is>
      </c>
      <c r="Z163" s="34" t="inlineStr">
        <is>
          <t/>
        </is>
      </c>
      <c r="AA163" s="35" t="inlineStr">
        <is>
          <t/>
        </is>
      </c>
      <c r="AB163" s="36" t="inlineStr">
        <is>
          <t/>
        </is>
      </c>
      <c r="AC163" s="37" t="inlineStr">
        <is>
          <t/>
        </is>
      </c>
      <c r="AD163" s="38" t="inlineStr">
        <is>
          <t/>
        </is>
      </c>
      <c r="AE163" s="39" t="inlineStr">
        <is>
          <t>160670-98P</t>
        </is>
      </c>
      <c r="AF163" s="40" t="inlineStr">
        <is>
          <t>Vicente Arias</t>
        </is>
      </c>
      <c r="AG163" s="41" t="inlineStr">
        <is>
          <t>Chief Executive Officer &amp; Co-Founder</t>
        </is>
      </c>
      <c r="AH163" s="42" t="inlineStr">
        <is>
          <t>vicente@coverfy.com</t>
        </is>
      </c>
      <c r="AI163" s="43" t="inlineStr">
        <is>
          <t>+34 91 005 9107</t>
        </is>
      </c>
      <c r="AJ163" s="44" t="inlineStr">
        <is>
          <t>Barcelona, Spain</t>
        </is>
      </c>
      <c r="AK163" s="45" t="inlineStr">
        <is>
          <t>Calle Llacuna, nº 162 de</t>
        </is>
      </c>
      <c r="AL163" s="46" t="inlineStr">
        <is>
          <t/>
        </is>
      </c>
      <c r="AM163" s="47" t="inlineStr">
        <is>
          <t>Barcelona</t>
        </is>
      </c>
      <c r="AN163" s="48" t="inlineStr">
        <is>
          <t/>
        </is>
      </c>
      <c r="AO163" s="49" t="inlineStr">
        <is>
          <t>08018</t>
        </is>
      </c>
      <c r="AP163" s="50" t="inlineStr">
        <is>
          <t>Spain</t>
        </is>
      </c>
      <c r="AQ163" s="51" t="inlineStr">
        <is>
          <t>+34 91 005 9107</t>
        </is>
      </c>
      <c r="AR163" s="52" t="inlineStr">
        <is>
          <t/>
        </is>
      </c>
      <c r="AS163" s="53" t="inlineStr">
        <is>
          <t>hola@coverfy.com</t>
        </is>
      </c>
      <c r="AT163" s="54" t="inlineStr">
        <is>
          <t>Europe</t>
        </is>
      </c>
      <c r="AU163" s="55" t="inlineStr">
        <is>
          <t>Southern Europe</t>
        </is>
      </c>
      <c r="AV163" s="56" t="inlineStr">
        <is>
          <t>The company raised EUR 3.5 million Series A venture funding from KFund, Seaya Ventures and Sabadell Venture on October 9, 2017. The company intends to use the funds to expand operations its business reach and further develop its platform. Earlier, the company raised EUR 750,000 of venture funding led by K Fund in October 2016.</t>
        </is>
      </c>
      <c r="AW163" s="57" t="inlineStr">
        <is>
          <t>BStartup10, KFund, Sabadell Capital, Seaya Ventures, Seedrocket</t>
        </is>
      </c>
      <c r="AX163" s="58" t="n">
        <v>5.0</v>
      </c>
      <c r="AY163" s="59" t="inlineStr">
        <is>
          <t/>
        </is>
      </c>
      <c r="AZ163" s="60" t="inlineStr">
        <is>
          <t/>
        </is>
      </c>
      <c r="BA163" s="61" t="inlineStr">
        <is>
          <t/>
        </is>
      </c>
      <c r="BB163" s="62" t="inlineStr">
        <is>
          <t>KFund (www.kfund.co), Sabadell Capital (bstartup.bancsabadell.com), Seaya Ventures (www.seayaventures.com), Seedrocket (www.seedrocket.com)</t>
        </is>
      </c>
      <c r="BC163" s="63" t="inlineStr">
        <is>
          <t/>
        </is>
      </c>
      <c r="BD163" s="64" t="inlineStr">
        <is>
          <t/>
        </is>
      </c>
      <c r="BE163" s="65" t="inlineStr">
        <is>
          <t/>
        </is>
      </c>
      <c r="BF163" s="66" t="inlineStr">
        <is>
          <t/>
        </is>
      </c>
      <c r="BG163" s="67" t="n">
        <v>42644.0</v>
      </c>
      <c r="BH163" s="68" t="n">
        <v>0.75</v>
      </c>
      <c r="BI163" s="69" t="inlineStr">
        <is>
          <t>Actual</t>
        </is>
      </c>
      <c r="BJ163" s="70" t="inlineStr">
        <is>
          <t/>
        </is>
      </c>
      <c r="BK163" s="71" t="inlineStr">
        <is>
          <t/>
        </is>
      </c>
      <c r="BL163" s="72" t="inlineStr">
        <is>
          <t>Early Stage VC</t>
        </is>
      </c>
      <c r="BM163" s="73" t="inlineStr">
        <is>
          <t/>
        </is>
      </c>
      <c r="BN163" s="74" t="inlineStr">
        <is>
          <t/>
        </is>
      </c>
      <c r="BO163" s="75" t="inlineStr">
        <is>
          <t>Venture Capital</t>
        </is>
      </c>
      <c r="BP163" s="76" t="inlineStr">
        <is>
          <t/>
        </is>
      </c>
      <c r="BQ163" s="77" t="inlineStr">
        <is>
          <t/>
        </is>
      </c>
      <c r="BR163" s="78" t="inlineStr">
        <is>
          <t/>
        </is>
      </c>
      <c r="BS163" s="79" t="inlineStr">
        <is>
          <t>Completed</t>
        </is>
      </c>
      <c r="BT163" s="80" t="n">
        <v>43017.0</v>
      </c>
      <c r="BU163" s="81" t="n">
        <v>3.5</v>
      </c>
      <c r="BV163" s="82" t="inlineStr">
        <is>
          <t>Actual</t>
        </is>
      </c>
      <c r="BW163" s="83" t="inlineStr">
        <is>
          <t/>
        </is>
      </c>
      <c r="BX163" s="84" t="inlineStr">
        <is>
          <t/>
        </is>
      </c>
      <c r="BY163" s="85" t="inlineStr">
        <is>
          <t>Early Stage VC</t>
        </is>
      </c>
      <c r="BZ163" s="86" t="inlineStr">
        <is>
          <t>Series A</t>
        </is>
      </c>
      <c r="CA163" s="87" t="inlineStr">
        <is>
          <t/>
        </is>
      </c>
      <c r="CB163" s="88" t="inlineStr">
        <is>
          <t>Venture Capital</t>
        </is>
      </c>
      <c r="CC163" s="89" t="inlineStr">
        <is>
          <t/>
        </is>
      </c>
      <c r="CD163" s="90" t="inlineStr">
        <is>
          <t/>
        </is>
      </c>
      <c r="CE163" s="91" t="inlineStr">
        <is>
          <t/>
        </is>
      </c>
      <c r="CF163" s="92" t="inlineStr">
        <is>
          <t>Completed</t>
        </is>
      </c>
      <c r="CG163" s="93" t="inlineStr">
        <is>
          <t>0,04%</t>
        </is>
      </c>
      <c r="CH163" s="94" t="inlineStr">
        <is>
          <t>77</t>
        </is>
      </c>
      <c r="CI163" s="95" t="inlineStr">
        <is>
          <t>0,00%</t>
        </is>
      </c>
      <c r="CJ163" s="96" t="inlineStr">
        <is>
          <t>-10,87%</t>
        </is>
      </c>
      <c r="CK163" s="97" t="inlineStr">
        <is>
          <t>-1,09%</t>
        </is>
      </c>
      <c r="CL163" s="98" t="inlineStr">
        <is>
          <t>19</t>
        </is>
      </c>
      <c r="CM163" s="99" t="inlineStr">
        <is>
          <t>1,16%</t>
        </is>
      </c>
      <c r="CN163" s="100" t="inlineStr">
        <is>
          <t>97</t>
        </is>
      </c>
      <c r="CO163" s="101" t="inlineStr">
        <is>
          <t>-6,12%</t>
        </is>
      </c>
      <c r="CP163" s="102" t="inlineStr">
        <is>
          <t>19</t>
        </is>
      </c>
      <c r="CQ163" s="103" t="inlineStr">
        <is>
          <t>3,94%</t>
        </is>
      </c>
      <c r="CR163" s="104" t="inlineStr">
        <is>
          <t>97</t>
        </is>
      </c>
      <c r="CS163" s="105" t="inlineStr">
        <is>
          <t>1,22%</t>
        </is>
      </c>
      <c r="CT163" s="106" t="inlineStr">
        <is>
          <t>96</t>
        </is>
      </c>
      <c r="CU163" s="107" t="inlineStr">
        <is>
          <t>1,09%</t>
        </is>
      </c>
      <c r="CV163" s="108" t="inlineStr">
        <is>
          <t>97</t>
        </is>
      </c>
      <c r="CW163" s="109" t="inlineStr">
        <is>
          <t>2,11x</t>
        </is>
      </c>
      <c r="CX163" s="110" t="inlineStr">
        <is>
          <t>66</t>
        </is>
      </c>
      <c r="CY163" s="111" t="inlineStr">
        <is>
          <t>0,00x</t>
        </is>
      </c>
      <c r="CZ163" s="112" t="inlineStr">
        <is>
          <t>-0,22%</t>
        </is>
      </c>
      <c r="DA163" s="113" t="inlineStr">
        <is>
          <t>2,91x</t>
        </is>
      </c>
      <c r="DB163" s="114" t="inlineStr">
        <is>
          <t>73</t>
        </is>
      </c>
      <c r="DC163" s="115" t="inlineStr">
        <is>
          <t>1,31x</t>
        </is>
      </c>
      <c r="DD163" s="116" t="inlineStr">
        <is>
          <t>54</t>
        </is>
      </c>
      <c r="DE163" s="117" t="inlineStr">
        <is>
          <t>1,84x</t>
        </is>
      </c>
      <c r="DF163" s="118" t="inlineStr">
        <is>
          <t>64</t>
        </is>
      </c>
      <c r="DG163" s="119" t="inlineStr">
        <is>
          <t>3,97x</t>
        </is>
      </c>
      <c r="DH163" s="120" t="inlineStr">
        <is>
          <t>76</t>
        </is>
      </c>
      <c r="DI163" s="121" t="inlineStr">
        <is>
          <t>0,73x</t>
        </is>
      </c>
      <c r="DJ163" s="122" t="inlineStr">
        <is>
          <t>45</t>
        </is>
      </c>
      <c r="DK163" s="123" t="inlineStr">
        <is>
          <t>1,88x</t>
        </is>
      </c>
      <c r="DL163" s="124" t="inlineStr">
        <is>
          <t>62</t>
        </is>
      </c>
      <c r="DM163" s="125" t="inlineStr">
        <is>
          <t>745</t>
        </is>
      </c>
      <c r="DN163" s="126" t="inlineStr">
        <is>
          <t>-183</t>
        </is>
      </c>
      <c r="DO163" s="127" t="inlineStr">
        <is>
          <t>-19,72%</t>
        </is>
      </c>
      <c r="DP163" s="128" t="inlineStr">
        <is>
          <t>575</t>
        </is>
      </c>
      <c r="DQ163" s="129" t="inlineStr">
        <is>
          <t>20</t>
        </is>
      </c>
      <c r="DR163" s="130" t="inlineStr">
        <is>
          <t>3,60%</t>
        </is>
      </c>
      <c r="DS163" s="131" t="inlineStr">
        <is>
          <t>143</t>
        </is>
      </c>
      <c r="DT163" s="132" t="inlineStr">
        <is>
          <t>2</t>
        </is>
      </c>
      <c r="DU163" s="133" t="inlineStr">
        <is>
          <t>1,42%</t>
        </is>
      </c>
      <c r="DV163" s="134" t="inlineStr">
        <is>
          <t>701</t>
        </is>
      </c>
      <c r="DW163" s="135" t="inlineStr">
        <is>
          <t>1</t>
        </is>
      </c>
      <c r="DX163" s="136" t="inlineStr">
        <is>
          <t>0,14%</t>
        </is>
      </c>
      <c r="DY163" s="137" t="inlineStr">
        <is>
          <t>PitchBook Research</t>
        </is>
      </c>
      <c r="DZ163" s="785">
        <f>HYPERLINK("https://my.pitchbook.com?c=172630-99", "View company online")</f>
      </c>
    </row>
    <row r="164">
      <c r="A164" s="139" t="inlineStr">
        <is>
          <t>181864-99</t>
        </is>
      </c>
      <c r="B164" s="140" t="inlineStr">
        <is>
          <t>Smartseeds</t>
        </is>
      </c>
      <c r="C164" s="141" t="inlineStr">
        <is>
          <t/>
        </is>
      </c>
      <c r="D164" s="142" t="inlineStr">
        <is>
          <t/>
        </is>
      </c>
      <c r="E164" s="143" t="inlineStr">
        <is>
          <t>181864-99</t>
        </is>
      </c>
      <c r="F164" s="144" t="inlineStr">
        <is>
          <t>Provides of a web and mobile based crop transportation platform designed to automate agricultural cargo. The company's crop transportation platform automates and monitor the progress of agricultural and crop transportation, offer electronic document management and provides quick and fair payment settlements, enabling users to calculate the cost of transportation, to publish applications and to monitor and control the process of transportation and receive their carrier in the shortest possible time.</t>
        </is>
      </c>
      <c r="G164" s="145" t="inlineStr">
        <is>
          <t>Information Technology</t>
        </is>
      </c>
      <c r="H164" s="146" t="inlineStr">
        <is>
          <t>Software</t>
        </is>
      </c>
      <c r="I164" s="147" t="inlineStr">
        <is>
          <t>Automation/Workflow Software</t>
        </is>
      </c>
      <c r="J164" s="148" t="inlineStr">
        <is>
          <t>Automation/Workflow Software*; Logistics</t>
        </is>
      </c>
      <c r="K164" s="149" t="inlineStr">
        <is>
          <t>Mobile, SaaS</t>
        </is>
      </c>
      <c r="L164" s="150" t="inlineStr">
        <is>
          <t>Angel-Backed</t>
        </is>
      </c>
      <c r="M164" s="151" t="n">
        <v>4.42</v>
      </c>
      <c r="N164" s="152" t="inlineStr">
        <is>
          <t>Startup</t>
        </is>
      </c>
      <c r="O164" s="153" t="inlineStr">
        <is>
          <t>Privately Held (backing)</t>
        </is>
      </c>
      <c r="P164" s="154" t="inlineStr">
        <is>
          <t>Pre-venture, Venture Capital</t>
        </is>
      </c>
      <c r="Q164" s="155" t="inlineStr">
        <is>
          <t>www.smartseeds.ru</t>
        </is>
      </c>
      <c r="R164" s="156" t="inlineStr">
        <is>
          <t/>
        </is>
      </c>
      <c r="S164" s="157" t="inlineStr">
        <is>
          <t/>
        </is>
      </c>
      <c r="T164" s="158" t="inlineStr">
        <is>
          <t/>
        </is>
      </c>
      <c r="U164" s="159" t="inlineStr">
        <is>
          <t/>
        </is>
      </c>
      <c r="V164" s="160" t="inlineStr">
        <is>
          <t/>
        </is>
      </c>
      <c r="W164" s="161" t="inlineStr">
        <is>
          <t/>
        </is>
      </c>
      <c r="X164" s="162" t="inlineStr">
        <is>
          <t/>
        </is>
      </c>
      <c r="Y164" s="163" t="inlineStr">
        <is>
          <t/>
        </is>
      </c>
      <c r="Z164" s="164" t="inlineStr">
        <is>
          <t/>
        </is>
      </c>
      <c r="AA164" s="165" t="inlineStr">
        <is>
          <t/>
        </is>
      </c>
      <c r="AB164" s="166" t="inlineStr">
        <is>
          <t/>
        </is>
      </c>
      <c r="AC164" s="167" t="inlineStr">
        <is>
          <t/>
        </is>
      </c>
      <c r="AD164" s="168" t="inlineStr">
        <is>
          <t/>
        </is>
      </c>
      <c r="AE164" s="169" t="inlineStr">
        <is>
          <t>164506-06P</t>
        </is>
      </c>
      <c r="AF164" s="170" t="inlineStr">
        <is>
          <t>Kirill Podolsky</t>
        </is>
      </c>
      <c r="AG164" s="171" t="inlineStr">
        <is>
          <t>Founder &amp; Chief Executive Officer</t>
        </is>
      </c>
      <c r="AH164" s="172" t="inlineStr">
        <is>
          <t>kirill@smartseeds.ru</t>
        </is>
      </c>
      <c r="AI164" s="173" t="inlineStr">
        <is>
          <t/>
        </is>
      </c>
      <c r="AJ164" s="174" t="inlineStr">
        <is>
          <t>Taganrog, Russia</t>
        </is>
      </c>
      <c r="AK164" s="175" t="inlineStr">
        <is>
          <t>Saint Komsomolskiy</t>
        </is>
      </c>
      <c r="AL164" s="176" t="inlineStr">
        <is>
          <t>Rostov</t>
        </is>
      </c>
      <c r="AM164" s="177" t="inlineStr">
        <is>
          <t>Taganrog</t>
        </is>
      </c>
      <c r="AN164" s="178" t="inlineStr">
        <is>
          <t/>
        </is>
      </c>
      <c r="AO164" s="179" t="inlineStr">
        <is>
          <t/>
        </is>
      </c>
      <c r="AP164" s="180" t="inlineStr">
        <is>
          <t>Russia</t>
        </is>
      </c>
      <c r="AQ164" s="181" t="inlineStr">
        <is>
          <t/>
        </is>
      </c>
      <c r="AR164" s="182" t="inlineStr">
        <is>
          <t/>
        </is>
      </c>
      <c r="AS164" s="183" t="inlineStr">
        <is>
          <t>info@smartseeds.ru</t>
        </is>
      </c>
      <c r="AT164" s="184" t="inlineStr">
        <is>
          <t>Europe</t>
        </is>
      </c>
      <c r="AU164" s="185" t="inlineStr">
        <is>
          <t>Eastern Europe</t>
        </is>
      </c>
      <c r="AV164" s="186" t="inlineStr">
        <is>
          <t>The company raised RUB 300 million of venture funding from VEB Innovations on October 16, 2017. The company intends to use the funds to make a massive entrance to the market and achieve a capitalization of $150 million over a two-year period. Earlier, the company also raised angel funding from Artem Vladislavovich Kuznetsov and other undisclosed investors on June 5, 2017. The funding will be spent on IT and operations of the company.</t>
        </is>
      </c>
      <c r="AW164" s="187" t="inlineStr">
        <is>
          <t>Artem Kuznetsov, VEB Innovations</t>
        </is>
      </c>
      <c r="AX164" s="188" t="n">
        <v>2.0</v>
      </c>
      <c r="AY164" s="189" t="inlineStr">
        <is>
          <t/>
        </is>
      </c>
      <c r="AZ164" s="190" t="inlineStr">
        <is>
          <t/>
        </is>
      </c>
      <c r="BA164" s="191" t="inlineStr">
        <is>
          <t/>
        </is>
      </c>
      <c r="BB164" s="192" t="inlineStr">
        <is>
          <t>VEB Innovations (www.innoveb.ru)</t>
        </is>
      </c>
      <c r="BC164" s="193" t="inlineStr">
        <is>
          <t/>
        </is>
      </c>
      <c r="BD164" s="194" t="inlineStr">
        <is>
          <t/>
        </is>
      </c>
      <c r="BE164" s="195" t="inlineStr">
        <is>
          <t/>
        </is>
      </c>
      <c r="BF164" s="196" t="inlineStr">
        <is>
          <t/>
        </is>
      </c>
      <c r="BG164" s="197" t="n">
        <v>42891.0</v>
      </c>
      <c r="BH164" s="198" t="inlineStr">
        <is>
          <t/>
        </is>
      </c>
      <c r="BI164" s="199" t="inlineStr">
        <is>
          <t/>
        </is>
      </c>
      <c r="BJ164" s="200" t="inlineStr">
        <is>
          <t/>
        </is>
      </c>
      <c r="BK164" s="201" t="inlineStr">
        <is>
          <t/>
        </is>
      </c>
      <c r="BL164" s="202" t="inlineStr">
        <is>
          <t>Angel (individual)</t>
        </is>
      </c>
      <c r="BM164" s="203" t="inlineStr">
        <is>
          <t>Angel</t>
        </is>
      </c>
      <c r="BN164" s="204" t="inlineStr">
        <is>
          <t/>
        </is>
      </c>
      <c r="BO164" s="205" t="inlineStr">
        <is>
          <t>Individual</t>
        </is>
      </c>
      <c r="BP164" s="206" t="inlineStr">
        <is>
          <t/>
        </is>
      </c>
      <c r="BQ164" s="207" t="inlineStr">
        <is>
          <t/>
        </is>
      </c>
      <c r="BR164" s="208" t="inlineStr">
        <is>
          <t/>
        </is>
      </c>
      <c r="BS164" s="209" t="inlineStr">
        <is>
          <t>Completed</t>
        </is>
      </c>
      <c r="BT164" s="210" t="n">
        <v>43024.0</v>
      </c>
      <c r="BU164" s="211" t="n">
        <v>4.42</v>
      </c>
      <c r="BV164" s="212" t="inlineStr">
        <is>
          <t>Actual</t>
        </is>
      </c>
      <c r="BW164" s="213" t="inlineStr">
        <is>
          <t/>
        </is>
      </c>
      <c r="BX164" s="214" t="inlineStr">
        <is>
          <t/>
        </is>
      </c>
      <c r="BY164" s="215" t="inlineStr">
        <is>
          <t>Early Stage VC</t>
        </is>
      </c>
      <c r="BZ164" s="216" t="inlineStr">
        <is>
          <t/>
        </is>
      </c>
      <c r="CA164" s="217" t="inlineStr">
        <is>
          <t/>
        </is>
      </c>
      <c r="CB164" s="218" t="inlineStr">
        <is>
          <t>Venture Capital</t>
        </is>
      </c>
      <c r="CC164" s="219" t="inlineStr">
        <is>
          <t/>
        </is>
      </c>
      <c r="CD164" s="220" t="inlineStr">
        <is>
          <t/>
        </is>
      </c>
      <c r="CE164" s="221" t="inlineStr">
        <is>
          <t/>
        </is>
      </c>
      <c r="CF164" s="222" t="inlineStr">
        <is>
          <t>Completed</t>
        </is>
      </c>
      <c r="CG164" s="223" t="inlineStr">
        <is>
          <t>0,22%</t>
        </is>
      </c>
      <c r="CH164" s="224" t="inlineStr">
        <is>
          <t>87</t>
        </is>
      </c>
      <c r="CI164" s="225" t="inlineStr">
        <is>
          <t>0,00%</t>
        </is>
      </c>
      <c r="CJ164" s="226" t="inlineStr">
        <is>
          <t>0,00%</t>
        </is>
      </c>
      <c r="CK164" s="227" t="inlineStr">
        <is>
          <t>0,22%</t>
        </is>
      </c>
      <c r="CL164" s="228" t="inlineStr">
        <is>
          <t>92</t>
        </is>
      </c>
      <c r="CM164" s="229" t="inlineStr">
        <is>
          <t/>
        </is>
      </c>
      <c r="CN164" s="230" t="inlineStr">
        <is>
          <t/>
        </is>
      </c>
      <c r="CO164" s="231" t="inlineStr">
        <is>
          <t>0,45%</t>
        </is>
      </c>
      <c r="CP164" s="232" t="inlineStr">
        <is>
          <t>92</t>
        </is>
      </c>
      <c r="CQ164" s="233" t="inlineStr">
        <is>
          <t>0,00%</t>
        </is>
      </c>
      <c r="CR164" s="234" t="inlineStr">
        <is>
          <t>20</t>
        </is>
      </c>
      <c r="CS164" s="235" t="inlineStr">
        <is>
          <t/>
        </is>
      </c>
      <c r="CT164" s="236" t="inlineStr">
        <is>
          <t/>
        </is>
      </c>
      <c r="CU164" s="237" t="inlineStr">
        <is>
          <t/>
        </is>
      </c>
      <c r="CV164" s="238" t="inlineStr">
        <is>
          <t/>
        </is>
      </c>
      <c r="CW164" s="239" t="inlineStr">
        <is>
          <t>3,15x</t>
        </is>
      </c>
      <c r="CX164" s="240" t="inlineStr">
        <is>
          <t>73</t>
        </is>
      </c>
      <c r="CY164" s="241" t="inlineStr">
        <is>
          <t>0,00x</t>
        </is>
      </c>
      <c r="CZ164" s="242" t="inlineStr">
        <is>
          <t>0,00%</t>
        </is>
      </c>
      <c r="DA164" s="243" t="inlineStr">
        <is>
          <t>3,15x</t>
        </is>
      </c>
      <c r="DB164" s="244" t="inlineStr">
        <is>
          <t>75</t>
        </is>
      </c>
      <c r="DC164" s="245" t="inlineStr">
        <is>
          <t/>
        </is>
      </c>
      <c r="DD164" s="246" t="inlineStr">
        <is>
          <t/>
        </is>
      </c>
      <c r="DE164" s="247" t="inlineStr">
        <is>
          <t>6,26x</t>
        </is>
      </c>
      <c r="DF164" s="248" t="inlineStr">
        <is>
          <t>83</t>
        </is>
      </c>
      <c r="DG164" s="249" t="inlineStr">
        <is>
          <t>0,03x</t>
        </is>
      </c>
      <c r="DH164" s="250" t="inlineStr">
        <is>
          <t>1</t>
        </is>
      </c>
      <c r="DI164" s="251" t="inlineStr">
        <is>
          <t/>
        </is>
      </c>
      <c r="DJ164" s="252" t="inlineStr">
        <is>
          <t/>
        </is>
      </c>
      <c r="DK164" s="253" t="inlineStr">
        <is>
          <t/>
        </is>
      </c>
      <c r="DL164" s="254" t="inlineStr">
        <is>
          <t/>
        </is>
      </c>
      <c r="DM164" s="255" t="inlineStr">
        <is>
          <t>2.315</t>
        </is>
      </c>
      <c r="DN164" s="256" t="inlineStr">
        <is>
          <t>26</t>
        </is>
      </c>
      <c r="DO164" s="257" t="inlineStr">
        <is>
          <t>1,14%</t>
        </is>
      </c>
      <c r="DP164" s="258" t="inlineStr">
        <is>
          <t/>
        </is>
      </c>
      <c r="DQ164" s="259" t="inlineStr">
        <is>
          <t/>
        </is>
      </c>
      <c r="DR164" s="260" t="inlineStr">
        <is>
          <t/>
        </is>
      </c>
      <c r="DS164" s="261" t="inlineStr">
        <is>
          <t>1</t>
        </is>
      </c>
      <c r="DT164" s="262" t="inlineStr">
        <is>
          <t>0</t>
        </is>
      </c>
      <c r="DU164" s="263" t="inlineStr">
        <is>
          <t>0,00%</t>
        </is>
      </c>
      <c r="DV164" s="264" t="inlineStr">
        <is>
          <t/>
        </is>
      </c>
      <c r="DW164" s="265" t="inlineStr">
        <is>
          <t/>
        </is>
      </c>
      <c r="DX164" s="266" t="inlineStr">
        <is>
          <t/>
        </is>
      </c>
      <c r="DY164" s="267" t="inlineStr">
        <is>
          <t>PitchBook Research</t>
        </is>
      </c>
      <c r="DZ164" s="786">
        <f>HYPERLINK("https://my.pitchbook.com?c=181864-99", "View company online")</f>
      </c>
    </row>
    <row r="165">
      <c r="A165" s="9" t="inlineStr">
        <is>
          <t>98847-46</t>
        </is>
      </c>
      <c r="B165" s="10" t="inlineStr">
        <is>
          <t>ReVibe Energy</t>
        </is>
      </c>
      <c r="C165" s="11" t="inlineStr">
        <is>
          <t/>
        </is>
      </c>
      <c r="D165" s="12" t="inlineStr">
        <is>
          <t/>
        </is>
      </c>
      <c r="E165" s="13" t="inlineStr">
        <is>
          <t>98847-46</t>
        </is>
      </c>
      <c r="F165" s="14" t="inlineStr">
        <is>
          <t>Developer of power sensors and monitoring systems designed to power the industrial internet of things in a reliable, flexible and sustainable fashion. The company's power sensors and monitoring systems use an unique vibration energy harvesting technology that eliminates the need for cables and batteries by transforming vibrations that are present in industrial environments into electricity, enabling industrial IoT to become completely power autonomous.</t>
        </is>
      </c>
      <c r="G165" s="15" t="inlineStr">
        <is>
          <t>Business Products and Services (B2B)</t>
        </is>
      </c>
      <c r="H165" s="16" t="inlineStr">
        <is>
          <t>Commercial Products</t>
        </is>
      </c>
      <c r="I165" s="17" t="inlineStr">
        <is>
          <t>Electrical Equipment</t>
        </is>
      </c>
      <c r="J165" s="18" t="inlineStr">
        <is>
          <t>Electrical Equipment*; Other Commercial Products; Other Software</t>
        </is>
      </c>
      <c r="K165" s="19" t="inlineStr">
        <is>
          <t>CleanTech, Internet of Things</t>
        </is>
      </c>
      <c r="L165" s="20" t="inlineStr">
        <is>
          <t>Venture Capital-Backed</t>
        </is>
      </c>
      <c r="M165" s="21" t="n">
        <v>4.48</v>
      </c>
      <c r="N165" s="22" t="inlineStr">
        <is>
          <t>Generating Revenue</t>
        </is>
      </c>
      <c r="O165" s="23" t="inlineStr">
        <is>
          <t>Privately Held (backing)</t>
        </is>
      </c>
      <c r="P165" s="24" t="inlineStr">
        <is>
          <t>Venture Capital</t>
        </is>
      </c>
      <c r="Q165" s="25" t="inlineStr">
        <is>
          <t>www.revibeenergy.com</t>
        </is>
      </c>
      <c r="R165" s="26" t="n">
        <v>4.0</v>
      </c>
      <c r="S165" s="27" t="inlineStr">
        <is>
          <t/>
        </is>
      </c>
      <c r="T165" s="28" t="inlineStr">
        <is>
          <t/>
        </is>
      </c>
      <c r="U165" s="29" t="n">
        <v>2014.0</v>
      </c>
      <c r="V165" s="30" t="inlineStr">
        <is>
          <t/>
        </is>
      </c>
      <c r="W165" s="31" t="inlineStr">
        <is>
          <t/>
        </is>
      </c>
      <c r="X165" s="32" t="inlineStr">
        <is>
          <t/>
        </is>
      </c>
      <c r="Y165" s="33" t="n">
        <v>0.00919</v>
      </c>
      <c r="Z165" s="34" t="inlineStr">
        <is>
          <t/>
        </is>
      </c>
      <c r="AA165" s="35" t="n">
        <v>-0.22968</v>
      </c>
      <c r="AB165" s="36" t="inlineStr">
        <is>
          <t/>
        </is>
      </c>
      <c r="AC165" s="37" t="n">
        <v>-0.22968</v>
      </c>
      <c r="AD165" s="38" t="inlineStr">
        <is>
          <t>FY 2015</t>
        </is>
      </c>
      <c r="AE165" s="39" t="inlineStr">
        <is>
          <t>91794-34P</t>
        </is>
      </c>
      <c r="AF165" s="40" t="inlineStr">
        <is>
          <t>Victor Börjesson</t>
        </is>
      </c>
      <c r="AG165" s="41" t="inlineStr">
        <is>
          <t>Co-Founder &amp; Chief Executive Officer</t>
        </is>
      </c>
      <c r="AH165" s="42" t="inlineStr">
        <is>
          <t>viktor.borjesson@revibeenergy.com</t>
        </is>
      </c>
      <c r="AI165" s="43" t="inlineStr">
        <is>
          <t>+46 (0)73 931 0512</t>
        </is>
      </c>
      <c r="AJ165" s="44" t="inlineStr">
        <is>
          <t>Gothenburg, Sweden</t>
        </is>
      </c>
      <c r="AK165" s="45" t="inlineStr">
        <is>
          <t>Falkenbergsgatan 3</t>
        </is>
      </c>
      <c r="AL165" s="46" t="inlineStr">
        <is>
          <t/>
        </is>
      </c>
      <c r="AM165" s="47" t="inlineStr">
        <is>
          <t>Gothenburg</t>
        </is>
      </c>
      <c r="AN165" s="48" t="inlineStr">
        <is>
          <t/>
        </is>
      </c>
      <c r="AO165" s="49" t="inlineStr">
        <is>
          <t>412 85</t>
        </is>
      </c>
      <c r="AP165" s="50" t="inlineStr">
        <is>
          <t>Sweden</t>
        </is>
      </c>
      <c r="AQ165" s="51" t="inlineStr">
        <is>
          <t>+46 (0) 31 24 23 22</t>
        </is>
      </c>
      <c r="AR165" s="52" t="inlineStr">
        <is>
          <t/>
        </is>
      </c>
      <c r="AS165" s="53" t="inlineStr">
        <is>
          <t>contact@revibeenergy.com</t>
        </is>
      </c>
      <c r="AT165" s="54" t="inlineStr">
        <is>
          <t>Europe</t>
        </is>
      </c>
      <c r="AU165" s="55" t="inlineStr">
        <is>
          <t>Northern Europe</t>
        </is>
      </c>
      <c r="AV165" s="56" t="inlineStr">
        <is>
          <t>The company raised SEK 7.5 million of venture funding from Lindeblad Technology, Chalmers Ventures and Almi Invest on October 25, 2017. Saab Ventures and other undisclosed investors also participated in the round. The company will use the funds for bolstering sales and investing in strategic product development to ensure a continued growth.</t>
        </is>
      </c>
      <c r="AW165" s="57" t="inlineStr">
        <is>
          <t>Accelerace, Almi Invest, Chalmers Ventures, Climate-KIC, Goteborg Energi, Horizon 2020, Qamcom Technology, Saab Ventures</t>
        </is>
      </c>
      <c r="AX165" s="58" t="n">
        <v>8.0</v>
      </c>
      <c r="AY165" s="59" t="inlineStr">
        <is>
          <t/>
        </is>
      </c>
      <c r="AZ165" s="60" t="inlineStr">
        <is>
          <t/>
        </is>
      </c>
      <c r="BA165" s="61" t="inlineStr">
        <is>
          <t/>
        </is>
      </c>
      <c r="BB165" s="62" t="inlineStr">
        <is>
          <t>Accelerace (www.accelerace.io), Chalmers Ventures (www.chalmersventures.com), Climate-KIC (www.climate-kic.org), Goteborg Energi (www.goteborgenergi.se), Qamcom Technology (qamcom.se)</t>
        </is>
      </c>
      <c r="BC165" s="63" t="inlineStr">
        <is>
          <t/>
        </is>
      </c>
      <c r="BD165" s="64" t="inlineStr">
        <is>
          <t/>
        </is>
      </c>
      <c r="BE165" s="65" t="inlineStr">
        <is>
          <t/>
        </is>
      </c>
      <c r="BF165" s="66" t="inlineStr">
        <is>
          <t/>
        </is>
      </c>
      <c r="BG165" s="67" t="n">
        <v>41640.0</v>
      </c>
      <c r="BH165" s="68" t="inlineStr">
        <is>
          <t/>
        </is>
      </c>
      <c r="BI165" s="69" t="inlineStr">
        <is>
          <t/>
        </is>
      </c>
      <c r="BJ165" s="70" t="inlineStr">
        <is>
          <t/>
        </is>
      </c>
      <c r="BK165" s="71" t="inlineStr">
        <is>
          <t/>
        </is>
      </c>
      <c r="BL165" s="72" t="inlineStr">
        <is>
          <t>Joint Venture</t>
        </is>
      </c>
      <c r="BM165" s="73" t="inlineStr">
        <is>
          <t/>
        </is>
      </c>
      <c r="BN165" s="74" t="inlineStr">
        <is>
          <t/>
        </is>
      </c>
      <c r="BO165" s="75" t="inlineStr">
        <is>
          <t>Venture Capital</t>
        </is>
      </c>
      <c r="BP165" s="76" t="inlineStr">
        <is>
          <t/>
        </is>
      </c>
      <c r="BQ165" s="77" t="inlineStr">
        <is>
          <t/>
        </is>
      </c>
      <c r="BR165" s="78" t="inlineStr">
        <is>
          <t/>
        </is>
      </c>
      <c r="BS165" s="79" t="inlineStr">
        <is>
          <t>Completed</t>
        </is>
      </c>
      <c r="BT165" s="80" t="n">
        <v>43033.0</v>
      </c>
      <c r="BU165" s="81" t="n">
        <v>0.78</v>
      </c>
      <c r="BV165" s="82" t="inlineStr">
        <is>
          <t>Actual</t>
        </is>
      </c>
      <c r="BW165" s="83" t="inlineStr">
        <is>
          <t/>
        </is>
      </c>
      <c r="BX165" s="84" t="inlineStr">
        <is>
          <t/>
        </is>
      </c>
      <c r="BY165" s="85" t="inlineStr">
        <is>
          <t>Early Stage VC</t>
        </is>
      </c>
      <c r="BZ165" s="86" t="inlineStr">
        <is>
          <t/>
        </is>
      </c>
      <c r="CA165" s="87" t="inlineStr">
        <is>
          <t/>
        </is>
      </c>
      <c r="CB165" s="88" t="inlineStr">
        <is>
          <t>Venture Capital</t>
        </is>
      </c>
      <c r="CC165" s="89" t="inlineStr">
        <is>
          <t/>
        </is>
      </c>
      <c r="CD165" s="90" t="inlineStr">
        <is>
          <t/>
        </is>
      </c>
      <c r="CE165" s="91" t="inlineStr">
        <is>
          <t/>
        </is>
      </c>
      <c r="CF165" s="92" t="inlineStr">
        <is>
          <t>Completed</t>
        </is>
      </c>
      <c r="CG165" s="93" t="inlineStr">
        <is>
          <t>1,95%</t>
        </is>
      </c>
      <c r="CH165" s="94" t="inlineStr">
        <is>
          <t>98</t>
        </is>
      </c>
      <c r="CI165" s="95" t="inlineStr">
        <is>
          <t>0,41%</t>
        </is>
      </c>
      <c r="CJ165" s="96" t="inlineStr">
        <is>
          <t>26,46%</t>
        </is>
      </c>
      <c r="CK165" s="97" t="inlineStr">
        <is>
          <t>3,49%</t>
        </is>
      </c>
      <c r="CL165" s="98" t="inlineStr">
        <is>
          <t>98</t>
        </is>
      </c>
      <c r="CM165" s="99" t="inlineStr">
        <is>
          <t>0,41%</t>
        </is>
      </c>
      <c r="CN165" s="100" t="inlineStr">
        <is>
          <t>86</t>
        </is>
      </c>
      <c r="CO165" s="101" t="inlineStr">
        <is>
          <t>0,00%</t>
        </is>
      </c>
      <c r="CP165" s="102" t="inlineStr">
        <is>
          <t>37</t>
        </is>
      </c>
      <c r="CQ165" s="103" t="inlineStr">
        <is>
          <t>6,99%</t>
        </is>
      </c>
      <c r="CR165" s="104" t="inlineStr">
        <is>
          <t>99</t>
        </is>
      </c>
      <c r="CS165" s="105" t="inlineStr">
        <is>
          <t/>
        </is>
      </c>
      <c r="CT165" s="106" t="inlineStr">
        <is>
          <t/>
        </is>
      </c>
      <c r="CU165" s="107" t="inlineStr">
        <is>
          <t>0,41%</t>
        </is>
      </c>
      <c r="CV165" s="108" t="inlineStr">
        <is>
          <t>88</t>
        </is>
      </c>
      <c r="CW165" s="109" t="inlineStr">
        <is>
          <t>2,04x</t>
        </is>
      </c>
      <c r="CX165" s="110" t="inlineStr">
        <is>
          <t>65</t>
        </is>
      </c>
      <c r="CY165" s="111" t="inlineStr">
        <is>
          <t>0,12x</t>
        </is>
      </c>
      <c r="CZ165" s="112" t="inlineStr">
        <is>
          <t>6,16%</t>
        </is>
      </c>
      <c r="DA165" s="113" t="inlineStr">
        <is>
          <t>2,66x</t>
        </is>
      </c>
      <c r="DB165" s="114" t="inlineStr">
        <is>
          <t>72</t>
        </is>
      </c>
      <c r="DC165" s="115" t="inlineStr">
        <is>
          <t>1,43x</t>
        </is>
      </c>
      <c r="DD165" s="116" t="inlineStr">
        <is>
          <t>55</t>
        </is>
      </c>
      <c r="DE165" s="117" t="inlineStr">
        <is>
          <t>0,40x</t>
        </is>
      </c>
      <c r="DF165" s="118" t="inlineStr">
        <is>
          <t>28</t>
        </is>
      </c>
      <c r="DG165" s="119" t="inlineStr">
        <is>
          <t>4,92x</t>
        </is>
      </c>
      <c r="DH165" s="120" t="inlineStr">
        <is>
          <t>79</t>
        </is>
      </c>
      <c r="DI165" s="121" t="inlineStr">
        <is>
          <t/>
        </is>
      </c>
      <c r="DJ165" s="122" t="inlineStr">
        <is>
          <t/>
        </is>
      </c>
      <c r="DK165" s="123" t="inlineStr">
        <is>
          <t>1,43x</t>
        </is>
      </c>
      <c r="DL165" s="124" t="inlineStr">
        <is>
          <t>57</t>
        </is>
      </c>
      <c r="DM165" s="125" t="inlineStr">
        <is>
          <t>148</t>
        </is>
      </c>
      <c r="DN165" s="126" t="inlineStr">
        <is>
          <t>6</t>
        </is>
      </c>
      <c r="DO165" s="127" t="inlineStr">
        <is>
          <t>4,23%</t>
        </is>
      </c>
      <c r="DP165" s="128" t="inlineStr">
        <is>
          <t/>
        </is>
      </c>
      <c r="DQ165" s="129" t="inlineStr">
        <is>
          <t/>
        </is>
      </c>
      <c r="DR165" s="130" t="inlineStr">
        <is>
          <t/>
        </is>
      </c>
      <c r="DS165" s="131" t="inlineStr">
        <is>
          <t>169</t>
        </is>
      </c>
      <c r="DT165" s="132" t="inlineStr">
        <is>
          <t>18</t>
        </is>
      </c>
      <c r="DU165" s="133" t="inlineStr">
        <is>
          <t>11,92%</t>
        </is>
      </c>
      <c r="DV165" s="134" t="inlineStr">
        <is>
          <t>534</t>
        </is>
      </c>
      <c r="DW165" s="135" t="inlineStr">
        <is>
          <t>2</t>
        </is>
      </c>
      <c r="DX165" s="136" t="inlineStr">
        <is>
          <t>0,38%</t>
        </is>
      </c>
      <c r="DY165" s="137" t="inlineStr">
        <is>
          <t>PitchBook Research</t>
        </is>
      </c>
      <c r="DZ165" s="785">
        <f>HYPERLINK("https://my.pitchbook.com?c=98847-46", "View company online")</f>
      </c>
    </row>
    <row r="166">
      <c r="A166" s="139" t="inlineStr">
        <is>
          <t>160602-58</t>
        </is>
      </c>
      <c r="B166" s="140" t="inlineStr">
        <is>
          <t>Patatam</t>
        </is>
      </c>
      <c r="C166" s="141" t="inlineStr">
        <is>
          <t/>
        </is>
      </c>
      <c r="D166" s="142" t="inlineStr">
        <is>
          <t/>
        </is>
      </c>
      <c r="E166" s="143" t="inlineStr">
        <is>
          <t>160602-58</t>
        </is>
      </c>
      <c r="F166" s="144" t="inlineStr">
        <is>
          <t>Provider of an eCommerce platform designed to purchase and re-sell second-hand clothing for children. The company' eCommerce platform is an online marketplace for second hand clothing of children aged between 0-6 years, enabling parents to purchase and sell used clothes for their growing children, renew their wardrobe and save money.</t>
        </is>
      </c>
      <c r="G166" s="145" t="inlineStr">
        <is>
          <t>Consumer Products and Services (B2C)</t>
        </is>
      </c>
      <c r="H166" s="146" t="inlineStr">
        <is>
          <t>Apparel and Accessories</t>
        </is>
      </c>
      <c r="I166" s="147" t="inlineStr">
        <is>
          <t>Clothing</t>
        </is>
      </c>
      <c r="J166" s="148" t="inlineStr">
        <is>
          <t>Clothing*; Footwear; Internet Retail</t>
        </is>
      </c>
      <c r="K166" s="149" t="inlineStr">
        <is>
          <t>E-Commerce</t>
        </is>
      </c>
      <c r="L166" s="150" t="inlineStr">
        <is>
          <t>Venture Capital-Backed</t>
        </is>
      </c>
      <c r="M166" s="151" t="n">
        <v>4.71</v>
      </c>
      <c r="N166" s="152" t="inlineStr">
        <is>
          <t>Generating Revenue</t>
        </is>
      </c>
      <c r="O166" s="153" t="inlineStr">
        <is>
          <t>Privately Held (backing)</t>
        </is>
      </c>
      <c r="P166" s="154" t="inlineStr">
        <is>
          <t>Venture Capital</t>
        </is>
      </c>
      <c r="Q166" s="155" t="inlineStr">
        <is>
          <t>www.patatam.com</t>
        </is>
      </c>
      <c r="R166" s="156" t="n">
        <v>11.0</v>
      </c>
      <c r="S166" s="157" t="inlineStr">
        <is>
          <t/>
        </is>
      </c>
      <c r="T166" s="158" t="inlineStr">
        <is>
          <t/>
        </is>
      </c>
      <c r="U166" s="159" t="n">
        <v>2013.0</v>
      </c>
      <c r="V166" s="160" t="inlineStr">
        <is>
          <t/>
        </is>
      </c>
      <c r="W166" s="161" t="inlineStr">
        <is>
          <t/>
        </is>
      </c>
      <c r="X166" s="162" t="inlineStr">
        <is>
          <t/>
        </is>
      </c>
      <c r="Y166" s="163" t="inlineStr">
        <is>
          <t/>
        </is>
      </c>
      <c r="Z166" s="164" t="inlineStr">
        <is>
          <t/>
        </is>
      </c>
      <c r="AA166" s="165" t="inlineStr">
        <is>
          <t/>
        </is>
      </c>
      <c r="AB166" s="166" t="inlineStr">
        <is>
          <t/>
        </is>
      </c>
      <c r="AC166" s="167" t="inlineStr">
        <is>
          <t/>
        </is>
      </c>
      <c r="AD166" s="168" t="inlineStr">
        <is>
          <t/>
        </is>
      </c>
      <c r="AE166" s="169" t="inlineStr">
        <is>
          <t>136903-06P</t>
        </is>
      </c>
      <c r="AF166" s="170" t="inlineStr">
        <is>
          <t>Mariève Bidart</t>
        </is>
      </c>
      <c r="AG166" s="171" t="inlineStr">
        <is>
          <t>Co-Founder &amp; General Manager</t>
        </is>
      </c>
      <c r="AH166" s="172" t="inlineStr">
        <is>
          <t>marieve@patatam.com</t>
        </is>
      </c>
      <c r="AI166" s="173" t="inlineStr">
        <is>
          <t>+33 (0)9 70 24 04 27</t>
        </is>
      </c>
      <c r="AJ166" s="174" t="inlineStr">
        <is>
          <t>Bayonne, France</t>
        </is>
      </c>
      <c r="AK166" s="175" t="inlineStr">
        <is>
          <t>4 Chemin de Trouillet</t>
        </is>
      </c>
      <c r="AL166" s="176" t="inlineStr">
        <is>
          <t/>
        </is>
      </c>
      <c r="AM166" s="177" t="inlineStr">
        <is>
          <t>Bayonne</t>
        </is>
      </c>
      <c r="AN166" s="178" t="inlineStr">
        <is>
          <t/>
        </is>
      </c>
      <c r="AO166" s="179" t="inlineStr">
        <is>
          <t>64100</t>
        </is>
      </c>
      <c r="AP166" s="180" t="inlineStr">
        <is>
          <t>France</t>
        </is>
      </c>
      <c r="AQ166" s="181" t="inlineStr">
        <is>
          <t>+33 (0)9 70 24 04 27</t>
        </is>
      </c>
      <c r="AR166" s="182" t="inlineStr">
        <is>
          <t/>
        </is>
      </c>
      <c r="AS166" s="183" t="inlineStr">
        <is>
          <t>contact@patatam.com</t>
        </is>
      </c>
      <c r="AT166" s="184" t="inlineStr">
        <is>
          <t>Europe</t>
        </is>
      </c>
      <c r="AU166" s="185" t="inlineStr">
        <is>
          <t>Western Europe</t>
        </is>
      </c>
      <c r="AV166" s="186" t="inlineStr">
        <is>
          <t>The company raised EUR 3.5 million of venture funding from Financière Duval, West Web Valley and SWEN Capital Partners on September 12, 2017. Follow on Aquiti Gestion, PG Développement, Kernel Investissements, Herrikoa, Adour Business Angels, Pierre Kosciuscko-Morizet, Pierre Krings, Frédéric Mazzella and Francis Nappez also participated in the round. The company intends to use the funds to expand, namely in Northern Europe by the end of the year, to widen their offering and extend their customer reach to 10 countries by the end of 2018.</t>
        </is>
      </c>
      <c r="AW166" s="187" t="inlineStr">
        <is>
          <t>AQUITI Gestion, Damien Grulier, Financière Duval, Francis Nappez, Frédéric Mazzella, Herrikoa, Kernel Investissements, PG Développement, Pierre Kosciusko Morizet, Pierre Krings, SWEN Capital Partners, West Web Valley</t>
        </is>
      </c>
      <c r="AX166" s="188" t="n">
        <v>12.0</v>
      </c>
      <c r="AY166" s="189" t="inlineStr">
        <is>
          <t/>
        </is>
      </c>
      <c r="AZ166" s="190" t="inlineStr">
        <is>
          <t/>
        </is>
      </c>
      <c r="BA166" s="191" t="inlineStr">
        <is>
          <t/>
        </is>
      </c>
      <c r="BB166" s="192" t="inlineStr">
        <is>
          <t>AQUITI Gestion (www.aquiti.fr), Financière Duval (www.financiereduval.com), Herrikoa (www.herrikoa.com), SWEN Capital Partners (www.swen-cp.fr), West Web Valley (www.west-web-valley.fr)</t>
        </is>
      </c>
      <c r="BC166" s="193" t="inlineStr">
        <is>
          <t/>
        </is>
      </c>
      <c r="BD166" s="194" t="inlineStr">
        <is>
          <t/>
        </is>
      </c>
      <c r="BE166" s="195" t="inlineStr">
        <is>
          <t/>
        </is>
      </c>
      <c r="BF166" s="196" t="inlineStr">
        <is>
          <t>Velvet Avocats (Legal Advisor), Avolta Partners (Advisor: General)</t>
        </is>
      </c>
      <c r="BG166" s="197" t="n">
        <v>41584.0</v>
      </c>
      <c r="BH166" s="198" t="n">
        <v>0.14</v>
      </c>
      <c r="BI166" s="199" t="inlineStr">
        <is>
          <t>Actual</t>
        </is>
      </c>
      <c r="BJ166" s="200" t="inlineStr">
        <is>
          <t/>
        </is>
      </c>
      <c r="BK166" s="201" t="inlineStr">
        <is>
          <t/>
        </is>
      </c>
      <c r="BL166" s="202" t="inlineStr">
        <is>
          <t>Seed Round</t>
        </is>
      </c>
      <c r="BM166" s="203" t="inlineStr">
        <is>
          <t>Seed</t>
        </is>
      </c>
      <c r="BN166" s="204" t="inlineStr">
        <is>
          <t/>
        </is>
      </c>
      <c r="BO166" s="205" t="inlineStr">
        <is>
          <t>Venture Capital</t>
        </is>
      </c>
      <c r="BP166" s="206" t="inlineStr">
        <is>
          <t/>
        </is>
      </c>
      <c r="BQ166" s="207" t="inlineStr">
        <is>
          <t/>
        </is>
      </c>
      <c r="BR166" s="208" t="inlineStr">
        <is>
          <t/>
        </is>
      </c>
      <c r="BS166" s="209" t="inlineStr">
        <is>
          <t>Completed</t>
        </is>
      </c>
      <c r="BT166" s="210" t="n">
        <v>42990.0</v>
      </c>
      <c r="BU166" s="211" t="n">
        <v>3.5</v>
      </c>
      <c r="BV166" s="212" t="inlineStr">
        <is>
          <t>Actual</t>
        </is>
      </c>
      <c r="BW166" s="213" t="inlineStr">
        <is>
          <t/>
        </is>
      </c>
      <c r="BX166" s="214" t="inlineStr">
        <is>
          <t/>
        </is>
      </c>
      <c r="BY166" s="215" t="inlineStr">
        <is>
          <t>Early Stage VC</t>
        </is>
      </c>
      <c r="BZ166" s="216" t="inlineStr">
        <is>
          <t/>
        </is>
      </c>
      <c r="CA166" s="217" t="inlineStr">
        <is>
          <t/>
        </is>
      </c>
      <c r="CB166" s="218" t="inlineStr">
        <is>
          <t>Venture Capital</t>
        </is>
      </c>
      <c r="CC166" s="219" t="inlineStr">
        <is>
          <t/>
        </is>
      </c>
      <c r="CD166" s="220" t="inlineStr">
        <is>
          <t/>
        </is>
      </c>
      <c r="CE166" s="221" t="inlineStr">
        <is>
          <t/>
        </is>
      </c>
      <c r="CF166" s="222" t="inlineStr">
        <is>
          <t>Completed</t>
        </is>
      </c>
      <c r="CG166" s="223" t="inlineStr">
        <is>
          <t>0,84%</t>
        </is>
      </c>
      <c r="CH166" s="224" t="inlineStr">
        <is>
          <t>94</t>
        </is>
      </c>
      <c r="CI166" s="225" t="inlineStr">
        <is>
          <t>0,07%</t>
        </is>
      </c>
      <c r="CJ166" s="226" t="inlineStr">
        <is>
          <t>8,66%</t>
        </is>
      </c>
      <c r="CK166" s="227" t="inlineStr">
        <is>
          <t>1,21%</t>
        </is>
      </c>
      <c r="CL166" s="228" t="inlineStr">
        <is>
          <t>95</t>
        </is>
      </c>
      <c r="CM166" s="229" t="inlineStr">
        <is>
          <t>0,46%</t>
        </is>
      </c>
      <c r="CN166" s="230" t="inlineStr">
        <is>
          <t>88</t>
        </is>
      </c>
      <c r="CO166" s="231" t="inlineStr">
        <is>
          <t>-1,11%</t>
        </is>
      </c>
      <c r="CP166" s="232" t="inlineStr">
        <is>
          <t>33</t>
        </is>
      </c>
      <c r="CQ166" s="233" t="inlineStr">
        <is>
          <t>3,52%</t>
        </is>
      </c>
      <c r="CR166" s="234" t="inlineStr">
        <is>
          <t>97</t>
        </is>
      </c>
      <c r="CS166" s="235" t="inlineStr">
        <is>
          <t>0,40%</t>
        </is>
      </c>
      <c r="CT166" s="236" t="inlineStr">
        <is>
          <t>83</t>
        </is>
      </c>
      <c r="CU166" s="237" t="inlineStr">
        <is>
          <t>0,52%</t>
        </is>
      </c>
      <c r="CV166" s="238" t="inlineStr">
        <is>
          <t>91</t>
        </is>
      </c>
      <c r="CW166" s="239" t="inlineStr">
        <is>
          <t>70,25x</t>
        </is>
      </c>
      <c r="CX166" s="240" t="inlineStr">
        <is>
          <t>97</t>
        </is>
      </c>
      <c r="CY166" s="241" t="inlineStr">
        <is>
          <t>-0,15x</t>
        </is>
      </c>
      <c r="CZ166" s="242" t="inlineStr">
        <is>
          <t>-0,21%</t>
        </is>
      </c>
      <c r="DA166" s="243" t="inlineStr">
        <is>
          <t>43,55x</t>
        </is>
      </c>
      <c r="DB166" s="244" t="inlineStr">
        <is>
          <t>97</t>
        </is>
      </c>
      <c r="DC166" s="245" t="inlineStr">
        <is>
          <t>96,95x</t>
        </is>
      </c>
      <c r="DD166" s="246" t="inlineStr">
        <is>
          <t>97</t>
        </is>
      </c>
      <c r="DE166" s="247" t="inlineStr">
        <is>
          <t>75,01x</t>
        </is>
      </c>
      <c r="DF166" s="248" t="inlineStr">
        <is>
          <t>97</t>
        </is>
      </c>
      <c r="DG166" s="249" t="inlineStr">
        <is>
          <t>12,08x</t>
        </is>
      </c>
      <c r="DH166" s="250" t="inlineStr">
        <is>
          <t>89</t>
        </is>
      </c>
      <c r="DI166" s="251" t="inlineStr">
        <is>
          <t>193,24x</t>
        </is>
      </c>
      <c r="DJ166" s="252" t="inlineStr">
        <is>
          <t>97</t>
        </is>
      </c>
      <c r="DK166" s="253" t="inlineStr">
        <is>
          <t>0,66x</t>
        </is>
      </c>
      <c r="DL166" s="254" t="inlineStr">
        <is>
          <t>43</t>
        </is>
      </c>
      <c r="DM166" s="255" t="inlineStr">
        <is>
          <t>27.862</t>
        </is>
      </c>
      <c r="DN166" s="256" t="inlineStr">
        <is>
          <t>-95</t>
        </is>
      </c>
      <c r="DO166" s="257" t="inlineStr">
        <is>
          <t>-0,34%</t>
        </is>
      </c>
      <c r="DP166" s="258" t="inlineStr">
        <is>
          <t>152.816</t>
        </is>
      </c>
      <c r="DQ166" s="259" t="inlineStr">
        <is>
          <t>489</t>
        </is>
      </c>
      <c r="DR166" s="260" t="inlineStr">
        <is>
          <t>0,32%</t>
        </is>
      </c>
      <c r="DS166" s="261" t="inlineStr">
        <is>
          <t>430</t>
        </is>
      </c>
      <c r="DT166" s="262" t="inlineStr">
        <is>
          <t>12</t>
        </is>
      </c>
      <c r="DU166" s="263" t="inlineStr">
        <is>
          <t>2,87%</t>
        </is>
      </c>
      <c r="DV166" s="264" t="inlineStr">
        <is>
          <t>245</t>
        </is>
      </c>
      <c r="DW166" s="265" t="inlineStr">
        <is>
          <t>2</t>
        </is>
      </c>
      <c r="DX166" s="266" t="inlineStr">
        <is>
          <t>0,82%</t>
        </is>
      </c>
      <c r="DY166" s="267" t="inlineStr">
        <is>
          <t>PitchBook Research</t>
        </is>
      </c>
      <c r="DZ166" s="786">
        <f>HYPERLINK("https://my.pitchbook.com?c=160602-58", "View company online")</f>
      </c>
    </row>
    <row r="167">
      <c r="A167" s="9" t="inlineStr">
        <is>
          <t>99447-67</t>
        </is>
      </c>
      <c r="B167" s="10" t="inlineStr">
        <is>
          <t>Shyftplan</t>
        </is>
      </c>
      <c r="C167" s="11" t="inlineStr">
        <is>
          <t/>
        </is>
      </c>
      <c r="D167" s="12" t="inlineStr">
        <is>
          <t/>
        </is>
      </c>
      <c r="E167" s="13" t="inlineStr">
        <is>
          <t>99447-67</t>
        </is>
      </c>
      <c r="F167" s="14" t="inlineStr">
        <is>
          <t>Provider of a shift scheduling platform designed to offer shift scheduling and employee management services. The company's shift scheduling platform offers all in one services to create schedule per week, per month or for a required period, as well as helps to decide freely on the time-span, duration and cycle of the schedule, enabling users to schedule shifts, rotas, distribution and payroll for companies.</t>
        </is>
      </c>
      <c r="G167" s="15" t="inlineStr">
        <is>
          <t>Information Technology</t>
        </is>
      </c>
      <c r="H167" s="16" t="inlineStr">
        <is>
          <t>Software</t>
        </is>
      </c>
      <c r="I167" s="17" t="inlineStr">
        <is>
          <t>Application Software</t>
        </is>
      </c>
      <c r="J167" s="18" t="inlineStr">
        <is>
          <t>Application Software*; Automation/Workflow Software; Business/Productivity Software</t>
        </is>
      </c>
      <c r="K167" s="19" t="inlineStr">
        <is>
          <t>SaaS</t>
        </is>
      </c>
      <c r="L167" s="20" t="inlineStr">
        <is>
          <t>Venture Capital-Backed</t>
        </is>
      </c>
      <c r="M167" s="21" t="n">
        <v>4.84</v>
      </c>
      <c r="N167" s="22" t="inlineStr">
        <is>
          <t>Generating Revenue</t>
        </is>
      </c>
      <c r="O167" s="23" t="inlineStr">
        <is>
          <t>Privately Held (backing)</t>
        </is>
      </c>
      <c r="P167" s="24" t="inlineStr">
        <is>
          <t>Venture Capital</t>
        </is>
      </c>
      <c r="Q167" s="25" t="inlineStr">
        <is>
          <t>www.shyftplan.com</t>
        </is>
      </c>
      <c r="R167" s="26" t="n">
        <v>11.0</v>
      </c>
      <c r="S167" s="27" t="inlineStr">
        <is>
          <t/>
        </is>
      </c>
      <c r="T167" s="28" t="inlineStr">
        <is>
          <t/>
        </is>
      </c>
      <c r="U167" s="29" t="n">
        <v>2012.0</v>
      </c>
      <c r="V167" s="30" t="inlineStr">
        <is>
          <t/>
        </is>
      </c>
      <c r="W167" s="31" t="inlineStr">
        <is>
          <t/>
        </is>
      </c>
      <c r="X167" s="32" t="inlineStr">
        <is>
          <t/>
        </is>
      </c>
      <c r="Y167" s="33" t="inlineStr">
        <is>
          <t/>
        </is>
      </c>
      <c r="Z167" s="34" t="inlineStr">
        <is>
          <t/>
        </is>
      </c>
      <c r="AA167" s="35" t="inlineStr">
        <is>
          <t/>
        </is>
      </c>
      <c r="AB167" s="36" t="inlineStr">
        <is>
          <t/>
        </is>
      </c>
      <c r="AC167" s="37" t="inlineStr">
        <is>
          <t/>
        </is>
      </c>
      <c r="AD167" s="38" t="inlineStr">
        <is>
          <t/>
        </is>
      </c>
      <c r="AE167" s="39" t="inlineStr">
        <is>
          <t>84644-47P</t>
        </is>
      </c>
      <c r="AF167" s="40" t="inlineStr">
        <is>
          <t>Jan-Martin Josten</t>
        </is>
      </c>
      <c r="AG167" s="41" t="inlineStr">
        <is>
          <t>Chief Executive Officer, Chief Information Officer &amp; Co-Founder</t>
        </is>
      </c>
      <c r="AH167" s="42" t="inlineStr">
        <is>
          <t>jan@shyftplan.com</t>
        </is>
      </c>
      <c r="AI167" s="43" t="inlineStr">
        <is>
          <t>+49 (0)30 8130 5297</t>
        </is>
      </c>
      <c r="AJ167" s="44" t="inlineStr">
        <is>
          <t>Berlin, Germany</t>
        </is>
      </c>
      <c r="AK167" s="45" t="inlineStr">
        <is>
          <t>Ritterstr 3</t>
        </is>
      </c>
      <c r="AL167" s="46" t="inlineStr">
        <is>
          <t/>
        </is>
      </c>
      <c r="AM167" s="47" t="inlineStr">
        <is>
          <t>Berlin</t>
        </is>
      </c>
      <c r="AN167" s="48" t="inlineStr">
        <is>
          <t/>
        </is>
      </c>
      <c r="AO167" s="49" t="inlineStr">
        <is>
          <t>10969</t>
        </is>
      </c>
      <c r="AP167" s="50" t="inlineStr">
        <is>
          <t>Germany</t>
        </is>
      </c>
      <c r="AQ167" s="51" t="inlineStr">
        <is>
          <t>+49 (0)30 8130 5297</t>
        </is>
      </c>
      <c r="AR167" s="52" t="inlineStr">
        <is>
          <t/>
        </is>
      </c>
      <c r="AS167" s="53" t="inlineStr">
        <is>
          <t/>
        </is>
      </c>
      <c r="AT167" s="54" t="inlineStr">
        <is>
          <t>Europe</t>
        </is>
      </c>
      <c r="AU167" s="55" t="inlineStr">
        <is>
          <t>Western Europe</t>
        </is>
      </c>
      <c r="AV167" s="56" t="inlineStr">
        <is>
          <t>The company raised EUR 3 million of Series A venture funding from lead investor Unternehmertum Venture Capital Partners on October 5, 2017. Coparion, Senovo and Kizoo Technology Capital also participated. The company intends to use the funds to continue to expand operations and finance development of the product, marketing and internationalization.</t>
        </is>
      </c>
      <c r="AW167" s="57" t="inlineStr">
        <is>
          <t>Coparion, European Regional Development Fund, Investitionsbank Berlin, Kizoo Technology Ventures, Senovo, Unternehmertum Venture Capital Partners</t>
        </is>
      </c>
      <c r="AX167" s="58" t="n">
        <v>6.0</v>
      </c>
      <c r="AY167" s="59" t="inlineStr">
        <is>
          <t/>
        </is>
      </c>
      <c r="AZ167" s="60" t="inlineStr">
        <is>
          <t/>
        </is>
      </c>
      <c r="BA167" s="61" t="inlineStr">
        <is>
          <t/>
        </is>
      </c>
      <c r="BB167" s="62" t="inlineStr">
        <is>
          <t>Coparion (www.coparion.vc), European Regional Development Fund (www.efre.brandenburg.de), Investitionsbank Berlin (www.ibb.de), Kizoo Technology Ventures (www.kizoo.com), Senovo (www.senovo.vc), Unternehmertum Venture Capital Partners (www.uvcpartners.com)</t>
        </is>
      </c>
      <c r="BC167" s="63" t="inlineStr">
        <is>
          <t/>
        </is>
      </c>
      <c r="BD167" s="64" t="inlineStr">
        <is>
          <t/>
        </is>
      </c>
      <c r="BE167" s="65" t="inlineStr">
        <is>
          <t/>
        </is>
      </c>
      <c r="BF167" s="66" t="inlineStr">
        <is>
          <t>Hengeler Mueller (Legal Advisor)</t>
        </is>
      </c>
      <c r="BG167" s="67" t="n">
        <v>41548.0</v>
      </c>
      <c r="BH167" s="68" t="n">
        <v>0.39</v>
      </c>
      <c r="BI167" s="69" t="inlineStr">
        <is>
          <t>Actual</t>
        </is>
      </c>
      <c r="BJ167" s="70" t="inlineStr">
        <is>
          <t/>
        </is>
      </c>
      <c r="BK167" s="71" t="inlineStr">
        <is>
          <t/>
        </is>
      </c>
      <c r="BL167" s="72" t="inlineStr">
        <is>
          <t>Early Stage VC</t>
        </is>
      </c>
      <c r="BM167" s="73" t="inlineStr">
        <is>
          <t/>
        </is>
      </c>
      <c r="BN167" s="74" t="inlineStr">
        <is>
          <t/>
        </is>
      </c>
      <c r="BO167" s="75" t="inlineStr">
        <is>
          <t>Venture Capital</t>
        </is>
      </c>
      <c r="BP167" s="76" t="inlineStr">
        <is>
          <t/>
        </is>
      </c>
      <c r="BQ167" s="77" t="inlineStr">
        <is>
          <t/>
        </is>
      </c>
      <c r="BR167" s="78" t="inlineStr">
        <is>
          <t/>
        </is>
      </c>
      <c r="BS167" s="79" t="inlineStr">
        <is>
          <t>Completed</t>
        </is>
      </c>
      <c r="BT167" s="80" t="n">
        <v>43013.0</v>
      </c>
      <c r="BU167" s="81" t="n">
        <v>3.0</v>
      </c>
      <c r="BV167" s="82" t="inlineStr">
        <is>
          <t>Actual</t>
        </is>
      </c>
      <c r="BW167" s="83" t="inlineStr">
        <is>
          <t/>
        </is>
      </c>
      <c r="BX167" s="84" t="inlineStr">
        <is>
          <t/>
        </is>
      </c>
      <c r="BY167" s="85" t="inlineStr">
        <is>
          <t>Early Stage VC</t>
        </is>
      </c>
      <c r="BZ167" s="86" t="inlineStr">
        <is>
          <t>Series A</t>
        </is>
      </c>
      <c r="CA167" s="87" t="inlineStr">
        <is>
          <t/>
        </is>
      </c>
      <c r="CB167" s="88" t="inlineStr">
        <is>
          <t>Venture Capital</t>
        </is>
      </c>
      <c r="CC167" s="89" t="inlineStr">
        <is>
          <t/>
        </is>
      </c>
      <c r="CD167" s="90" t="inlineStr">
        <is>
          <t/>
        </is>
      </c>
      <c r="CE167" s="91" t="inlineStr">
        <is>
          <t/>
        </is>
      </c>
      <c r="CF167" s="92" t="inlineStr">
        <is>
          <t>Completed</t>
        </is>
      </c>
      <c r="CG167" s="93" t="inlineStr">
        <is>
          <t>-6,46%</t>
        </is>
      </c>
      <c r="CH167" s="94" t="inlineStr">
        <is>
          <t>2</t>
        </is>
      </c>
      <c r="CI167" s="95" t="inlineStr">
        <is>
          <t>0,03%</t>
        </is>
      </c>
      <c r="CJ167" s="96" t="inlineStr">
        <is>
          <t>0,47%</t>
        </is>
      </c>
      <c r="CK167" s="97" t="inlineStr">
        <is>
          <t>-13,14%</t>
        </is>
      </c>
      <c r="CL167" s="98" t="inlineStr">
        <is>
          <t>2</t>
        </is>
      </c>
      <c r="CM167" s="99" t="inlineStr">
        <is>
          <t>0,22%</t>
        </is>
      </c>
      <c r="CN167" s="100" t="inlineStr">
        <is>
          <t>73</t>
        </is>
      </c>
      <c r="CO167" s="101" t="inlineStr">
        <is>
          <t>-26,27%</t>
        </is>
      </c>
      <c r="CP167" s="102" t="inlineStr">
        <is>
          <t>3</t>
        </is>
      </c>
      <c r="CQ167" s="103" t="inlineStr">
        <is>
          <t>0,00%</t>
        </is>
      </c>
      <c r="CR167" s="104" t="inlineStr">
        <is>
          <t>20</t>
        </is>
      </c>
      <c r="CS167" s="105" t="inlineStr">
        <is>
          <t>0,28%</t>
        </is>
      </c>
      <c r="CT167" s="106" t="inlineStr">
        <is>
          <t>76</t>
        </is>
      </c>
      <c r="CU167" s="107" t="inlineStr">
        <is>
          <t>0,16%</t>
        </is>
      </c>
      <c r="CV167" s="108" t="inlineStr">
        <is>
          <t>73</t>
        </is>
      </c>
      <c r="CW167" s="109" t="inlineStr">
        <is>
          <t>0,49x</t>
        </is>
      </c>
      <c r="CX167" s="110" t="inlineStr">
        <is>
          <t>32</t>
        </is>
      </c>
      <c r="CY167" s="111" t="inlineStr">
        <is>
          <t>0,00x</t>
        </is>
      </c>
      <c r="CZ167" s="112" t="inlineStr">
        <is>
          <t>-0,33%</t>
        </is>
      </c>
      <c r="DA167" s="113" t="inlineStr">
        <is>
          <t>0,40x</t>
        </is>
      </c>
      <c r="DB167" s="114" t="inlineStr">
        <is>
          <t>30</t>
        </is>
      </c>
      <c r="DC167" s="115" t="inlineStr">
        <is>
          <t>0,59x</t>
        </is>
      </c>
      <c r="DD167" s="116" t="inlineStr">
        <is>
          <t>38</t>
        </is>
      </c>
      <c r="DE167" s="117" t="inlineStr">
        <is>
          <t>0,41x</t>
        </is>
      </c>
      <c r="DF167" s="118" t="inlineStr">
        <is>
          <t>29</t>
        </is>
      </c>
      <c r="DG167" s="119" t="inlineStr">
        <is>
          <t>0,39x</t>
        </is>
      </c>
      <c r="DH167" s="120" t="inlineStr">
        <is>
          <t>30</t>
        </is>
      </c>
      <c r="DI167" s="121" t="inlineStr">
        <is>
          <t>0,76x</t>
        </is>
      </c>
      <c r="DJ167" s="122" t="inlineStr">
        <is>
          <t>46</t>
        </is>
      </c>
      <c r="DK167" s="123" t="inlineStr">
        <is>
          <t>0,42x</t>
        </is>
      </c>
      <c r="DL167" s="124" t="inlineStr">
        <is>
          <t>35</t>
        </is>
      </c>
      <c r="DM167" s="125" t="inlineStr">
        <is>
          <t>152</t>
        </is>
      </c>
      <c r="DN167" s="126" t="inlineStr">
        <is>
          <t>0</t>
        </is>
      </c>
      <c r="DO167" s="127" t="inlineStr">
        <is>
          <t>0,00%</t>
        </is>
      </c>
      <c r="DP167" s="128" t="inlineStr">
        <is>
          <t>598</t>
        </is>
      </c>
      <c r="DQ167" s="129" t="inlineStr">
        <is>
          <t>3</t>
        </is>
      </c>
      <c r="DR167" s="130" t="inlineStr">
        <is>
          <t>0,50%</t>
        </is>
      </c>
      <c r="DS167" s="131" t="inlineStr">
        <is>
          <t>14</t>
        </is>
      </c>
      <c r="DT167" s="132" t="inlineStr">
        <is>
          <t>0</t>
        </is>
      </c>
      <c r="DU167" s="133" t="inlineStr">
        <is>
          <t>0,00%</t>
        </is>
      </c>
      <c r="DV167" s="134" t="inlineStr">
        <is>
          <t>157</t>
        </is>
      </c>
      <c r="DW167" s="135" t="inlineStr">
        <is>
          <t>0</t>
        </is>
      </c>
      <c r="DX167" s="136" t="inlineStr">
        <is>
          <t>0,00%</t>
        </is>
      </c>
      <c r="DY167" s="137" t="inlineStr">
        <is>
          <t>PitchBook Research</t>
        </is>
      </c>
      <c r="DZ167" s="785">
        <f>HYPERLINK("https://my.pitchbook.com?c=99447-67", "View company online")</f>
      </c>
    </row>
    <row r="168">
      <c r="A168" s="139" t="inlineStr">
        <is>
          <t>102603-97</t>
        </is>
      </c>
      <c r="B168" s="140" t="inlineStr">
        <is>
          <t>Twisto Payments</t>
        </is>
      </c>
      <c r="C168" s="141" t="inlineStr">
        <is>
          <t/>
        </is>
      </c>
      <c r="D168" s="142" t="inlineStr">
        <is>
          <t>Twisto</t>
        </is>
      </c>
      <c r="E168" s="143" t="inlineStr">
        <is>
          <t>102603-97</t>
        </is>
      </c>
      <c r="F168" s="144" t="inlineStr">
        <is>
          <t>Provider of online payment options and credit services. The company's online shopping and payment credit account allows for deferred payment and payment on delivery enabling users to handle unexpected expenses.</t>
        </is>
      </c>
      <c r="G168" s="145" t="inlineStr">
        <is>
          <t>Financial Services</t>
        </is>
      </c>
      <c r="H168" s="146" t="inlineStr">
        <is>
          <t>Other Financial Services</t>
        </is>
      </c>
      <c r="I168" s="147" t="inlineStr">
        <is>
          <t>Consumer Finance</t>
        </is>
      </c>
      <c r="J168" s="148" t="inlineStr">
        <is>
          <t>Consumer Finance*; Financial Software</t>
        </is>
      </c>
      <c r="K168" s="149" t="inlineStr">
        <is>
          <t>FinTech, Mobile</t>
        </is>
      </c>
      <c r="L168" s="150" t="inlineStr">
        <is>
          <t>Venture Capital-Backed</t>
        </is>
      </c>
      <c r="M168" s="151" t="n">
        <v>5.0</v>
      </c>
      <c r="N168" s="152" t="inlineStr">
        <is>
          <t>Generating Revenue</t>
        </is>
      </c>
      <c r="O168" s="153" t="inlineStr">
        <is>
          <t>Privately Held (backing)</t>
        </is>
      </c>
      <c r="P168" s="154" t="inlineStr">
        <is>
          <t>Venture Capital</t>
        </is>
      </c>
      <c r="Q168" s="155" t="inlineStr">
        <is>
          <t>twisto.cz</t>
        </is>
      </c>
      <c r="R168" s="156" t="n">
        <v>14.0</v>
      </c>
      <c r="S168" s="157" t="inlineStr">
        <is>
          <t/>
        </is>
      </c>
      <c r="T168" s="158" t="inlineStr">
        <is>
          <t/>
        </is>
      </c>
      <c r="U168" s="159" t="n">
        <v>2013.0</v>
      </c>
      <c r="V168" s="160" t="inlineStr">
        <is>
          <t/>
        </is>
      </c>
      <c r="W168" s="161" t="inlineStr">
        <is>
          <t/>
        </is>
      </c>
      <c r="X168" s="162" t="inlineStr">
        <is>
          <t/>
        </is>
      </c>
      <c r="Y168" s="163" t="inlineStr">
        <is>
          <t/>
        </is>
      </c>
      <c r="Z168" s="164" t="inlineStr">
        <is>
          <t/>
        </is>
      </c>
      <c r="AA168" s="165" t="inlineStr">
        <is>
          <t/>
        </is>
      </c>
      <c r="AB168" s="166" t="inlineStr">
        <is>
          <t/>
        </is>
      </c>
      <c r="AC168" s="167" t="inlineStr">
        <is>
          <t/>
        </is>
      </c>
      <c r="AD168" s="168" t="inlineStr">
        <is>
          <t/>
        </is>
      </c>
      <c r="AE168" s="169" t="inlineStr">
        <is>
          <t>118679-59P</t>
        </is>
      </c>
      <c r="AF168" s="170" t="inlineStr">
        <is>
          <t>Michal Šmída</t>
        </is>
      </c>
      <c r="AG168" s="171" t="inlineStr">
        <is>
          <t>Founder &amp; Chief Executive Officer</t>
        </is>
      </c>
      <c r="AH168" s="172" t="inlineStr">
        <is>
          <t>michal.smida@twisto.cz</t>
        </is>
      </c>
      <c r="AI168" s="173" t="inlineStr">
        <is>
          <t>+420 222 703 333</t>
        </is>
      </c>
      <c r="AJ168" s="174" t="inlineStr">
        <is>
          <t>Prague, Czech Republic</t>
        </is>
      </c>
      <c r="AK168" s="175" t="inlineStr">
        <is>
          <t>Újezd 450/40</t>
        </is>
      </c>
      <c r="AL168" s="176" t="inlineStr">
        <is>
          <t>Malá Strana</t>
        </is>
      </c>
      <c r="AM168" s="177" t="inlineStr">
        <is>
          <t>Prague</t>
        </is>
      </c>
      <c r="AN168" s="178" t="inlineStr">
        <is>
          <t/>
        </is>
      </c>
      <c r="AO168" s="179" t="inlineStr">
        <is>
          <t>118 00</t>
        </is>
      </c>
      <c r="AP168" s="180" t="inlineStr">
        <is>
          <t>Czech Republic</t>
        </is>
      </c>
      <c r="AQ168" s="181" t="inlineStr">
        <is>
          <t>+420 222 703 333</t>
        </is>
      </c>
      <c r="AR168" s="182" t="inlineStr">
        <is>
          <t/>
        </is>
      </c>
      <c r="AS168" s="183" t="inlineStr">
        <is>
          <t>dotaz@twisto.cz</t>
        </is>
      </c>
      <c r="AT168" s="184" t="inlineStr">
        <is>
          <t>Europe</t>
        </is>
      </c>
      <c r="AU168" s="185" t="inlineStr">
        <is>
          <t>Eastern Europe</t>
        </is>
      </c>
      <c r="AV168" s="186" t="inlineStr">
        <is>
          <t>The company raised EUR 5 million of Series A venture funding from ING Group and UNIQA Insurance Group on October 4, 2017. ING Group and UNIQA invested EUR 4 million and EUR 1 million respectively.</t>
        </is>
      </c>
      <c r="AW168" s="187" t="inlineStr">
        <is>
          <t>Enern, ING Group, Miton CZ, Partners Financial Services, Slevomat Ventures, UNIQA International</t>
        </is>
      </c>
      <c r="AX168" s="188" t="n">
        <v>6.0</v>
      </c>
      <c r="AY168" s="189" t="inlineStr">
        <is>
          <t/>
        </is>
      </c>
      <c r="AZ168" s="190" t="inlineStr">
        <is>
          <t/>
        </is>
      </c>
      <c r="BA168" s="191" t="inlineStr">
        <is>
          <t/>
        </is>
      </c>
      <c r="BB168" s="192" t="inlineStr">
        <is>
          <t>Enern (www.enern.eu), Miton CZ (www.miton.cz), Partners Financial Services (www.partners.cz), UNIQA International (www.uniqagroup.com)</t>
        </is>
      </c>
      <c r="BC168" s="193" t="inlineStr">
        <is>
          <t/>
        </is>
      </c>
      <c r="BD168" s="194" t="inlineStr">
        <is>
          <t/>
        </is>
      </c>
      <c r="BE168" s="195" t="inlineStr">
        <is>
          <t/>
        </is>
      </c>
      <c r="BF168" s="196" t="inlineStr">
        <is>
          <t/>
        </is>
      </c>
      <c r="BG168" s="197" t="n">
        <v>41485.0</v>
      </c>
      <c r="BH168" s="198" t="inlineStr">
        <is>
          <t/>
        </is>
      </c>
      <c r="BI168" s="199" t="inlineStr">
        <is>
          <t/>
        </is>
      </c>
      <c r="BJ168" s="200" t="inlineStr">
        <is>
          <t/>
        </is>
      </c>
      <c r="BK168" s="201" t="inlineStr">
        <is>
          <t/>
        </is>
      </c>
      <c r="BL168" s="202" t="inlineStr">
        <is>
          <t>Platform Creation</t>
        </is>
      </c>
      <c r="BM168" s="203" t="inlineStr">
        <is>
          <t/>
        </is>
      </c>
      <c r="BN168" s="204" t="inlineStr">
        <is>
          <t/>
        </is>
      </c>
      <c r="BO168" s="205" t="inlineStr">
        <is>
          <t>Venture Capital</t>
        </is>
      </c>
      <c r="BP168" s="206" t="inlineStr">
        <is>
          <t/>
        </is>
      </c>
      <c r="BQ168" s="207" t="inlineStr">
        <is>
          <t/>
        </is>
      </c>
      <c r="BR168" s="208" t="inlineStr">
        <is>
          <t/>
        </is>
      </c>
      <c r="BS168" s="209" t="inlineStr">
        <is>
          <t>Completed</t>
        </is>
      </c>
      <c r="BT168" s="210" t="n">
        <v>43012.0</v>
      </c>
      <c r="BU168" s="211" t="n">
        <v>5.0</v>
      </c>
      <c r="BV168" s="212" t="inlineStr">
        <is>
          <t>Actual</t>
        </is>
      </c>
      <c r="BW168" s="213" t="inlineStr">
        <is>
          <t/>
        </is>
      </c>
      <c r="BX168" s="214" t="inlineStr">
        <is>
          <t/>
        </is>
      </c>
      <c r="BY168" s="215" t="inlineStr">
        <is>
          <t>Early Stage VC</t>
        </is>
      </c>
      <c r="BZ168" s="216" t="inlineStr">
        <is>
          <t>Series A</t>
        </is>
      </c>
      <c r="CA168" s="217" t="inlineStr">
        <is>
          <t/>
        </is>
      </c>
      <c r="CB168" s="218" t="inlineStr">
        <is>
          <t>Venture Capital</t>
        </is>
      </c>
      <c r="CC168" s="219" t="inlineStr">
        <is>
          <t/>
        </is>
      </c>
      <c r="CD168" s="220" t="inlineStr">
        <is>
          <t/>
        </is>
      </c>
      <c r="CE168" s="221" t="inlineStr">
        <is>
          <t/>
        </is>
      </c>
      <c r="CF168" s="222" t="inlineStr">
        <is>
          <t>Completed</t>
        </is>
      </c>
      <c r="CG168" s="223" t="inlineStr">
        <is>
          <t>-5,46%</t>
        </is>
      </c>
      <c r="CH168" s="224" t="inlineStr">
        <is>
          <t>3</t>
        </is>
      </c>
      <c r="CI168" s="225" t="inlineStr">
        <is>
          <t>-0,09%</t>
        </is>
      </c>
      <c r="CJ168" s="226" t="inlineStr">
        <is>
          <t>-1,62%</t>
        </is>
      </c>
      <c r="CK168" s="227" t="inlineStr">
        <is>
          <t>-11,78%</t>
        </is>
      </c>
      <c r="CL168" s="228" t="inlineStr">
        <is>
          <t>2</t>
        </is>
      </c>
      <c r="CM168" s="229" t="inlineStr">
        <is>
          <t>0,86%</t>
        </is>
      </c>
      <c r="CN168" s="230" t="inlineStr">
        <is>
          <t>95</t>
        </is>
      </c>
      <c r="CO168" s="231" t="inlineStr">
        <is>
          <t>-25,31%</t>
        </is>
      </c>
      <c r="CP168" s="232" t="inlineStr">
        <is>
          <t>3</t>
        </is>
      </c>
      <c r="CQ168" s="233" t="inlineStr">
        <is>
          <t>1,75%</t>
        </is>
      </c>
      <c r="CR168" s="234" t="inlineStr">
        <is>
          <t>95</t>
        </is>
      </c>
      <c r="CS168" s="235" t="inlineStr">
        <is>
          <t>0,55%</t>
        </is>
      </c>
      <c r="CT168" s="236" t="inlineStr">
        <is>
          <t>88</t>
        </is>
      </c>
      <c r="CU168" s="237" t="inlineStr">
        <is>
          <t>1,16%</t>
        </is>
      </c>
      <c r="CV168" s="238" t="inlineStr">
        <is>
          <t>97</t>
        </is>
      </c>
      <c r="CW168" s="239" t="inlineStr">
        <is>
          <t>3,90x</t>
        </is>
      </c>
      <c r="CX168" s="240" t="inlineStr">
        <is>
          <t>76</t>
        </is>
      </c>
      <c r="CY168" s="241" t="inlineStr">
        <is>
          <t>1,30x</t>
        </is>
      </c>
      <c r="CZ168" s="242" t="inlineStr">
        <is>
          <t>50,11%</t>
        </is>
      </c>
      <c r="DA168" s="243" t="inlineStr">
        <is>
          <t>4,45x</t>
        </is>
      </c>
      <c r="DB168" s="244" t="inlineStr">
        <is>
          <t>80</t>
        </is>
      </c>
      <c r="DC168" s="245" t="inlineStr">
        <is>
          <t>3,35x</t>
        </is>
      </c>
      <c r="DD168" s="246" t="inlineStr">
        <is>
          <t>70</t>
        </is>
      </c>
      <c r="DE168" s="247" t="inlineStr">
        <is>
          <t>0,26x</t>
        </is>
      </c>
      <c r="DF168" s="248" t="inlineStr">
        <is>
          <t>19</t>
        </is>
      </c>
      <c r="DG168" s="249" t="inlineStr">
        <is>
          <t>8,64x</t>
        </is>
      </c>
      <c r="DH168" s="250" t="inlineStr">
        <is>
          <t>85</t>
        </is>
      </c>
      <c r="DI168" s="251" t="inlineStr">
        <is>
          <t>5,89x</t>
        </is>
      </c>
      <c r="DJ168" s="252" t="inlineStr">
        <is>
          <t>76</t>
        </is>
      </c>
      <c r="DK168" s="253" t="inlineStr">
        <is>
          <t>0,82x</t>
        </is>
      </c>
      <c r="DL168" s="254" t="inlineStr">
        <is>
          <t>47</t>
        </is>
      </c>
      <c r="DM168" s="255" t="inlineStr">
        <is>
          <t>95</t>
        </is>
      </c>
      <c r="DN168" s="256" t="inlineStr">
        <is>
          <t>5</t>
        </is>
      </c>
      <c r="DO168" s="257" t="inlineStr">
        <is>
          <t>5,56%</t>
        </is>
      </c>
      <c r="DP168" s="258" t="inlineStr">
        <is>
          <t>4.654</t>
        </is>
      </c>
      <c r="DQ168" s="259" t="inlineStr">
        <is>
          <t>32</t>
        </is>
      </c>
      <c r="DR168" s="260" t="inlineStr">
        <is>
          <t>0,69%</t>
        </is>
      </c>
      <c r="DS168" s="261" t="inlineStr">
        <is>
          <t>308</t>
        </is>
      </c>
      <c r="DT168" s="262" t="inlineStr">
        <is>
          <t>5</t>
        </is>
      </c>
      <c r="DU168" s="263" t="inlineStr">
        <is>
          <t>1,65%</t>
        </is>
      </c>
      <c r="DV168" s="264" t="inlineStr">
        <is>
          <t>306</t>
        </is>
      </c>
      <c r="DW168" s="265" t="inlineStr">
        <is>
          <t>4</t>
        </is>
      </c>
      <c r="DX168" s="266" t="inlineStr">
        <is>
          <t>1,32%</t>
        </is>
      </c>
      <c r="DY168" s="267" t="inlineStr">
        <is>
          <t>PitchBook Research</t>
        </is>
      </c>
      <c r="DZ168" s="786">
        <f>HYPERLINK("https://my.pitchbook.com?c=102603-97", "View company online")</f>
      </c>
    </row>
    <row r="169">
      <c r="A169" s="9" t="inlineStr">
        <is>
          <t>172498-51</t>
        </is>
      </c>
      <c r="B169" s="10" t="inlineStr">
        <is>
          <t>Llollo</t>
        </is>
      </c>
      <c r="C169" s="11" t="inlineStr">
        <is>
          <t/>
        </is>
      </c>
      <c r="D169" s="12" t="inlineStr">
        <is>
          <t>Llollo App</t>
        </is>
      </c>
      <c r="E169" s="13" t="inlineStr">
        <is>
          <t>172498-51</t>
        </is>
      </c>
      <c r="F169" s="14" t="inlineStr">
        <is>
          <t>Provider of an online valet parking platform intended to revolutionize the long-stay parking. The company's online valet parking platform offers a modernized way to collect, park and return a car at the terminal door, with no need for cash payments, lost time or transfers, enabling users to park cars in an easy, practical and economical way when traveling.</t>
        </is>
      </c>
      <c r="G169" s="15" t="inlineStr">
        <is>
          <t>Information Technology</t>
        </is>
      </c>
      <c r="H169" s="16" t="inlineStr">
        <is>
          <t>Software</t>
        </is>
      </c>
      <c r="I169" s="17" t="inlineStr">
        <is>
          <t>Application Software</t>
        </is>
      </c>
      <c r="J169" s="18" t="inlineStr">
        <is>
          <t>Application Software*; Other Services (B2C Non-Financial); Automotive</t>
        </is>
      </c>
      <c r="K169" s="19" t="inlineStr">
        <is>
          <t>Mobile</t>
        </is>
      </c>
      <c r="L169" s="20" t="inlineStr">
        <is>
          <t>Venture Capital-Backed</t>
        </is>
      </c>
      <c r="M169" s="21" t="n">
        <v>5.0</v>
      </c>
      <c r="N169" s="22" t="inlineStr">
        <is>
          <t>Generating Revenue</t>
        </is>
      </c>
      <c r="O169" s="23" t="inlineStr">
        <is>
          <t>Privately Held (backing)</t>
        </is>
      </c>
      <c r="P169" s="24" t="inlineStr">
        <is>
          <t>Venture Capital</t>
        </is>
      </c>
      <c r="Q169" s="25" t="inlineStr">
        <is>
          <t>www.llollo.com</t>
        </is>
      </c>
      <c r="R169" s="26" t="n">
        <v>75.0</v>
      </c>
      <c r="S169" s="27" t="inlineStr">
        <is>
          <t/>
        </is>
      </c>
      <c r="T169" s="28" t="inlineStr">
        <is>
          <t/>
        </is>
      </c>
      <c r="U169" s="29" t="n">
        <v>2015.0</v>
      </c>
      <c r="V169" s="30" t="inlineStr">
        <is>
          <t/>
        </is>
      </c>
      <c r="W169" s="31" t="inlineStr">
        <is>
          <t/>
        </is>
      </c>
      <c r="X169" s="32" t="inlineStr">
        <is>
          <t/>
        </is>
      </c>
      <c r="Y169" s="33" t="n">
        <v>0.00812</v>
      </c>
      <c r="Z169" s="34" t="inlineStr">
        <is>
          <t/>
        </is>
      </c>
      <c r="AA169" s="35" t="n">
        <v>-0.00812</v>
      </c>
      <c r="AB169" s="36" t="inlineStr">
        <is>
          <t/>
        </is>
      </c>
      <c r="AC169" s="37" t="n">
        <v>-1.01464</v>
      </c>
      <c r="AD169" s="38" t="inlineStr">
        <is>
          <t>FY 2014</t>
        </is>
      </c>
      <c r="AE169" s="39" t="inlineStr">
        <is>
          <t>161952-22P</t>
        </is>
      </c>
      <c r="AF169" s="40" t="inlineStr">
        <is>
          <t>Hans Christ</t>
        </is>
      </c>
      <c r="AG169" s="41" t="inlineStr">
        <is>
          <t>Co-Founder &amp; Chief Executive Officer</t>
        </is>
      </c>
      <c r="AH169" s="42" t="inlineStr">
        <is>
          <t>hans.christ@llollo.com</t>
        </is>
      </c>
      <c r="AI169" s="43" t="inlineStr">
        <is>
          <t>+34 91 179 0782</t>
        </is>
      </c>
      <c r="AJ169" s="44" t="inlineStr">
        <is>
          <t>Madrid, Spain</t>
        </is>
      </c>
      <c r="AK169" s="45" t="inlineStr">
        <is>
          <t>Calle García de Paredes, 12, 1ºB</t>
        </is>
      </c>
      <c r="AL169" s="46" t="inlineStr">
        <is>
          <t/>
        </is>
      </c>
      <c r="AM169" s="47" t="inlineStr">
        <is>
          <t>Madrid</t>
        </is>
      </c>
      <c r="AN169" s="48" t="inlineStr">
        <is>
          <t/>
        </is>
      </c>
      <c r="AO169" s="49" t="inlineStr">
        <is>
          <t>28001</t>
        </is>
      </c>
      <c r="AP169" s="50" t="inlineStr">
        <is>
          <t>Spain</t>
        </is>
      </c>
      <c r="AQ169" s="51" t="inlineStr">
        <is>
          <t>+34 91 179 0782</t>
        </is>
      </c>
      <c r="AR169" s="52" t="inlineStr">
        <is>
          <t/>
        </is>
      </c>
      <c r="AS169" s="53" t="inlineStr">
        <is>
          <t>llollo@llollo.com</t>
        </is>
      </c>
      <c r="AT169" s="54" t="inlineStr">
        <is>
          <t>Europe</t>
        </is>
      </c>
      <c r="AU169" s="55" t="inlineStr">
        <is>
          <t>Southern Europe</t>
        </is>
      </c>
      <c r="AV169" s="56" t="inlineStr">
        <is>
          <t>The company raised EUR 2.5 million of venture funding in a deal led by Kibo Ventures Partners on September 26, 2017. B4Motion and Stella Maris Partners also participated in the round. The funds will be used to increase its workforce to cover technology, operations and marketing positions and to expand its services to five cities. Earlier, the company raised EUR 1.2 million of venture funding from B4Motion, Stella Maris Partners and Avianta Capital on January 26, 2017.</t>
        </is>
      </c>
      <c r="AW169" s="57" t="inlineStr">
        <is>
          <t>Avianta Capital, B4Motion, Kibo Ventures Partners, Stella Maris Partners</t>
        </is>
      </c>
      <c r="AX169" s="58" t="n">
        <v>4.0</v>
      </c>
      <c r="AY169" s="59" t="inlineStr">
        <is>
          <t/>
        </is>
      </c>
      <c r="AZ169" s="60" t="inlineStr">
        <is>
          <t/>
        </is>
      </c>
      <c r="BA169" s="61" t="inlineStr">
        <is>
          <t/>
        </is>
      </c>
      <c r="BB169" s="62" t="inlineStr">
        <is>
          <t>Avianta Capital (www.aviantacapital.com), B4Motion (www.b4motion.com), Kibo Ventures Partners (www.kiboventures.com), Stella Maris Partners (www.stellamaris.mx)</t>
        </is>
      </c>
      <c r="BC169" s="63" t="inlineStr">
        <is>
          <t/>
        </is>
      </c>
      <c r="BD169" s="64" t="inlineStr">
        <is>
          <t/>
        </is>
      </c>
      <c r="BE169" s="65" t="inlineStr">
        <is>
          <t/>
        </is>
      </c>
      <c r="BF169" s="66" t="inlineStr">
        <is>
          <t/>
        </is>
      </c>
      <c r="BG169" s="67" t="inlineStr">
        <is>
          <t/>
        </is>
      </c>
      <c r="BH169" s="68" t="n">
        <v>1.3</v>
      </c>
      <c r="BI169" s="69" t="inlineStr">
        <is>
          <t>Estimated</t>
        </is>
      </c>
      <c r="BJ169" s="70" t="inlineStr">
        <is>
          <t/>
        </is>
      </c>
      <c r="BK169" s="71" t="inlineStr">
        <is>
          <t/>
        </is>
      </c>
      <c r="BL169" s="72" t="inlineStr">
        <is>
          <t>Early Stage VC</t>
        </is>
      </c>
      <c r="BM169" s="73" t="inlineStr">
        <is>
          <t/>
        </is>
      </c>
      <c r="BN169" s="74" t="inlineStr">
        <is>
          <t/>
        </is>
      </c>
      <c r="BO169" s="75" t="inlineStr">
        <is>
          <t>Venture Capital</t>
        </is>
      </c>
      <c r="BP169" s="76" t="inlineStr">
        <is>
          <t/>
        </is>
      </c>
      <c r="BQ169" s="77" t="inlineStr">
        <is>
          <t/>
        </is>
      </c>
      <c r="BR169" s="78" t="inlineStr">
        <is>
          <t/>
        </is>
      </c>
      <c r="BS169" s="79" t="inlineStr">
        <is>
          <t>Completed</t>
        </is>
      </c>
      <c r="BT169" s="80" t="n">
        <v>43004.0</v>
      </c>
      <c r="BU169" s="81" t="n">
        <v>2.5</v>
      </c>
      <c r="BV169" s="82" t="inlineStr">
        <is>
          <t>Actual</t>
        </is>
      </c>
      <c r="BW169" s="83" t="inlineStr">
        <is>
          <t/>
        </is>
      </c>
      <c r="BX169" s="84" t="inlineStr">
        <is>
          <t/>
        </is>
      </c>
      <c r="BY169" s="85" t="inlineStr">
        <is>
          <t>Early Stage VC</t>
        </is>
      </c>
      <c r="BZ169" s="86" t="inlineStr">
        <is>
          <t/>
        </is>
      </c>
      <c r="CA169" s="87" t="inlineStr">
        <is>
          <t/>
        </is>
      </c>
      <c r="CB169" s="88" t="inlineStr">
        <is>
          <t>Venture Capital</t>
        </is>
      </c>
      <c r="CC169" s="89" t="inlineStr">
        <is>
          <t/>
        </is>
      </c>
      <c r="CD169" s="90" t="inlineStr">
        <is>
          <t/>
        </is>
      </c>
      <c r="CE169" s="91" t="inlineStr">
        <is>
          <t/>
        </is>
      </c>
      <c r="CF169" s="92" t="inlineStr">
        <is>
          <t>Completed</t>
        </is>
      </c>
      <c r="CG169" s="93" t="inlineStr">
        <is>
          <t>0,05%</t>
        </is>
      </c>
      <c r="CH169" s="94" t="inlineStr">
        <is>
          <t>78</t>
        </is>
      </c>
      <c r="CI169" s="95" t="inlineStr">
        <is>
          <t>0,01%</t>
        </is>
      </c>
      <c r="CJ169" s="96" t="inlineStr">
        <is>
          <t>24,64%</t>
        </is>
      </c>
      <c r="CK169" s="97" t="inlineStr">
        <is>
          <t>0,08%</t>
        </is>
      </c>
      <c r="CL169" s="98" t="inlineStr">
        <is>
          <t>91</t>
        </is>
      </c>
      <c r="CM169" s="99" t="inlineStr">
        <is>
          <t>0,07%</t>
        </is>
      </c>
      <c r="CN169" s="100" t="inlineStr">
        <is>
          <t>53</t>
        </is>
      </c>
      <c r="CO169" s="101" t="inlineStr">
        <is>
          <t>0,16%</t>
        </is>
      </c>
      <c r="CP169" s="102" t="inlineStr">
        <is>
          <t>91</t>
        </is>
      </c>
      <c r="CQ169" s="103" t="inlineStr">
        <is>
          <t>0,00%</t>
        </is>
      </c>
      <c r="CR169" s="104" t="inlineStr">
        <is>
          <t>20</t>
        </is>
      </c>
      <c r="CS169" s="105" t="inlineStr">
        <is>
          <t>0,01%</t>
        </is>
      </c>
      <c r="CT169" s="106" t="inlineStr">
        <is>
          <t>41</t>
        </is>
      </c>
      <c r="CU169" s="107" t="inlineStr">
        <is>
          <t>0,14%</t>
        </is>
      </c>
      <c r="CV169" s="108" t="inlineStr">
        <is>
          <t>71</t>
        </is>
      </c>
      <c r="CW169" s="109" t="inlineStr">
        <is>
          <t>2,42x</t>
        </is>
      </c>
      <c r="CX169" s="110" t="inlineStr">
        <is>
          <t>68</t>
        </is>
      </c>
      <c r="CY169" s="111" t="inlineStr">
        <is>
          <t>-0,01x</t>
        </is>
      </c>
      <c r="CZ169" s="112" t="inlineStr">
        <is>
          <t>-0,32%</t>
        </is>
      </c>
      <c r="DA169" s="113" t="inlineStr">
        <is>
          <t>5,25x</t>
        </is>
      </c>
      <c r="DB169" s="114" t="inlineStr">
        <is>
          <t>82</t>
        </is>
      </c>
      <c r="DC169" s="115" t="inlineStr">
        <is>
          <t>1,76x</t>
        </is>
      </c>
      <c r="DD169" s="116" t="inlineStr">
        <is>
          <t>59</t>
        </is>
      </c>
      <c r="DE169" s="117" t="inlineStr">
        <is>
          <t>8,41x</t>
        </is>
      </c>
      <c r="DF169" s="118" t="inlineStr">
        <is>
          <t>86</t>
        </is>
      </c>
      <c r="DG169" s="119" t="inlineStr">
        <is>
          <t>2,08x</t>
        </is>
      </c>
      <c r="DH169" s="120" t="inlineStr">
        <is>
          <t>66</t>
        </is>
      </c>
      <c r="DI169" s="121" t="inlineStr">
        <is>
          <t>2,08x</t>
        </is>
      </c>
      <c r="DJ169" s="122" t="inlineStr">
        <is>
          <t>63</t>
        </is>
      </c>
      <c r="DK169" s="123" t="inlineStr">
        <is>
          <t>1,44x</t>
        </is>
      </c>
      <c r="DL169" s="124" t="inlineStr">
        <is>
          <t>57</t>
        </is>
      </c>
      <c r="DM169" s="125" t="inlineStr">
        <is>
          <t>3.100</t>
        </is>
      </c>
      <c r="DN169" s="126" t="inlineStr">
        <is>
          <t>60</t>
        </is>
      </c>
      <c r="DO169" s="127" t="inlineStr">
        <is>
          <t>1,97%</t>
        </is>
      </c>
      <c r="DP169" s="128" t="inlineStr">
        <is>
          <t>1.644</t>
        </is>
      </c>
      <c r="DQ169" s="129" t="inlineStr">
        <is>
          <t>0</t>
        </is>
      </c>
      <c r="DR169" s="130" t="inlineStr">
        <is>
          <t>0,00%</t>
        </is>
      </c>
      <c r="DS169" s="131" t="inlineStr">
        <is>
          <t>75</t>
        </is>
      </c>
      <c r="DT169" s="132" t="inlineStr">
        <is>
          <t>-1</t>
        </is>
      </c>
      <c r="DU169" s="133" t="inlineStr">
        <is>
          <t>-1,32%</t>
        </is>
      </c>
      <c r="DV169" s="134" t="inlineStr">
        <is>
          <t>535</t>
        </is>
      </c>
      <c r="DW169" s="135" t="inlineStr">
        <is>
          <t>2</t>
        </is>
      </c>
      <c r="DX169" s="136" t="inlineStr">
        <is>
          <t>0,38%</t>
        </is>
      </c>
      <c r="DY169" s="137" t="inlineStr">
        <is>
          <t>PitchBook Research</t>
        </is>
      </c>
      <c r="DZ169" s="785">
        <f>HYPERLINK("https://my.pitchbook.com?c=172498-51", "View company online")</f>
      </c>
    </row>
    <row r="170">
      <c r="A170" s="139" t="inlineStr">
        <is>
          <t>186308-92</t>
        </is>
      </c>
      <c r="B170" s="140" t="inlineStr">
        <is>
          <t>OpenHealth Company</t>
        </is>
      </c>
      <c r="C170" s="141" t="inlineStr">
        <is>
          <t/>
        </is>
      </c>
      <c r="D170" s="142" t="inlineStr">
        <is>
          <t/>
        </is>
      </c>
      <c r="E170" s="143" t="inlineStr">
        <is>
          <t>186308-92</t>
        </is>
      </c>
      <c r="F170" s="144" t="inlineStr">
        <is>
          <t>Provider of healthcare data collection and analysis services. The company's services focus on collection and analysis of health data in real time and rely on data collected from pharmacies, outpatient medical data or patient longitudinal data, enabling epidemiological, public health and medico-economic companies to get marketing and clinical research information.</t>
        </is>
      </c>
      <c r="G170" s="145" t="inlineStr">
        <is>
          <t>Business Products and Services (B2B)</t>
        </is>
      </c>
      <c r="H170" s="146" t="inlineStr">
        <is>
          <t>Commercial Services</t>
        </is>
      </c>
      <c r="I170" s="147" t="inlineStr">
        <is>
          <t>Media and Information Services (B2B)</t>
        </is>
      </c>
      <c r="J170" s="148" t="inlineStr">
        <is>
          <t>Media and Information Services (B2B)*; Other Healthcare</t>
        </is>
      </c>
      <c r="K170" s="149" t="inlineStr">
        <is>
          <t>Big Data, HealthTech</t>
        </is>
      </c>
      <c r="L170" s="150" t="inlineStr">
        <is>
          <t>Venture Capital-Backed</t>
        </is>
      </c>
      <c r="M170" s="151" t="n">
        <v>5.0</v>
      </c>
      <c r="N170" s="152" t="inlineStr">
        <is>
          <t>Generating Revenue</t>
        </is>
      </c>
      <c r="O170" s="153" t="inlineStr">
        <is>
          <t>Privately Held (backing)</t>
        </is>
      </c>
      <c r="P170" s="154" t="inlineStr">
        <is>
          <t>Venture Capital</t>
        </is>
      </c>
      <c r="Q170" s="155" t="inlineStr">
        <is>
          <t>www.openhealth.fr</t>
        </is>
      </c>
      <c r="R170" s="156" t="n">
        <v>50.0</v>
      </c>
      <c r="S170" s="157" t="inlineStr">
        <is>
          <t/>
        </is>
      </c>
      <c r="T170" s="158" t="inlineStr">
        <is>
          <t/>
        </is>
      </c>
      <c r="U170" s="159" t="n">
        <v>2015.0</v>
      </c>
      <c r="V170" s="160" t="inlineStr">
        <is>
          <t/>
        </is>
      </c>
      <c r="W170" s="161" t="inlineStr">
        <is>
          <t/>
        </is>
      </c>
      <c r="X170" s="162" t="inlineStr">
        <is>
          <t/>
        </is>
      </c>
      <c r="Y170" s="163" t="n">
        <v>9.49953</v>
      </c>
      <c r="Z170" s="164" t="inlineStr">
        <is>
          <t/>
        </is>
      </c>
      <c r="AA170" s="165" t="inlineStr">
        <is>
          <t/>
        </is>
      </c>
      <c r="AB170" s="166" t="inlineStr">
        <is>
          <t/>
        </is>
      </c>
      <c r="AC170" s="167" t="inlineStr">
        <is>
          <t/>
        </is>
      </c>
      <c r="AD170" s="168" t="inlineStr">
        <is>
          <t>FY 2017</t>
        </is>
      </c>
      <c r="AE170" s="169" t="inlineStr">
        <is>
          <t>163326-70P</t>
        </is>
      </c>
      <c r="AF170" s="170" t="inlineStr">
        <is>
          <t>Jean-Yves Robin</t>
        </is>
      </c>
      <c r="AG170" s="171" t="inlineStr">
        <is>
          <t>Chief Executive Officer &amp; Co-Founder</t>
        </is>
      </c>
      <c r="AH170" s="172" t="inlineStr">
        <is>
          <t>j.robin@openhealth.fr</t>
        </is>
      </c>
      <c r="AI170" s="173" t="inlineStr">
        <is>
          <t>+33 (0)2 97 68 37 00</t>
        </is>
      </c>
      <c r="AJ170" s="174" t="inlineStr">
        <is>
          <t>Paris, France</t>
        </is>
      </c>
      <c r="AK170" s="175" t="inlineStr">
        <is>
          <t>141, rue de Rennes</t>
        </is>
      </c>
      <c r="AL170" s="176" t="inlineStr">
        <is>
          <t/>
        </is>
      </c>
      <c r="AM170" s="177" t="inlineStr">
        <is>
          <t>Paris</t>
        </is>
      </c>
      <c r="AN170" s="178" t="inlineStr">
        <is>
          <t/>
        </is>
      </c>
      <c r="AO170" s="179" t="inlineStr">
        <is>
          <t>75006</t>
        </is>
      </c>
      <c r="AP170" s="180" t="inlineStr">
        <is>
          <t>France</t>
        </is>
      </c>
      <c r="AQ170" s="181" t="inlineStr">
        <is>
          <t>+33 (0)2 97 68 37 00</t>
        </is>
      </c>
      <c r="AR170" s="182" t="inlineStr">
        <is>
          <t>+33 (0)2 97 68 37 01</t>
        </is>
      </c>
      <c r="AS170" s="183" t="inlineStr">
        <is>
          <t>contact@openhealth.fr</t>
        </is>
      </c>
      <c r="AT170" s="184" t="inlineStr">
        <is>
          <t>Europe</t>
        </is>
      </c>
      <c r="AU170" s="185" t="inlineStr">
        <is>
          <t>Western Europe</t>
        </is>
      </c>
      <c r="AV170" s="186" t="inlineStr">
        <is>
          <t>The company raised EUR 5 million of venture funding led by LBO France and Innovation Capital on September 13, 2017.</t>
        </is>
      </c>
      <c r="AW170" s="187" t="inlineStr">
        <is>
          <t>Innovation Capital (France), LBO France</t>
        </is>
      </c>
      <c r="AX170" s="188" t="n">
        <v>2.0</v>
      </c>
      <c r="AY170" s="189" t="inlineStr">
        <is>
          <t/>
        </is>
      </c>
      <c r="AZ170" s="190" t="inlineStr">
        <is>
          <t/>
        </is>
      </c>
      <c r="BA170" s="191" t="inlineStr">
        <is>
          <t/>
        </is>
      </c>
      <c r="BB170" s="192" t="inlineStr">
        <is>
          <t>Innovation Capital (France) (www.innovationcapital.fr), LBO France (www.lbofrance.com)</t>
        </is>
      </c>
      <c r="BC170" s="193" t="inlineStr">
        <is>
          <t/>
        </is>
      </c>
      <c r="BD170" s="194" t="inlineStr">
        <is>
          <t/>
        </is>
      </c>
      <c r="BE170" s="195" t="inlineStr">
        <is>
          <t/>
        </is>
      </c>
      <c r="BF170" s="196" t="inlineStr">
        <is>
          <t/>
        </is>
      </c>
      <c r="BG170" s="197" t="n">
        <v>42991.0</v>
      </c>
      <c r="BH170" s="198" t="n">
        <v>5.0</v>
      </c>
      <c r="BI170" s="199" t="inlineStr">
        <is>
          <t>Actual</t>
        </is>
      </c>
      <c r="BJ170" s="200" t="inlineStr">
        <is>
          <t/>
        </is>
      </c>
      <c r="BK170" s="201" t="inlineStr">
        <is>
          <t/>
        </is>
      </c>
      <c r="BL170" s="202" t="inlineStr">
        <is>
          <t>Early Stage VC</t>
        </is>
      </c>
      <c r="BM170" s="203" t="inlineStr">
        <is>
          <t/>
        </is>
      </c>
      <c r="BN170" s="204" t="inlineStr">
        <is>
          <t/>
        </is>
      </c>
      <c r="BO170" s="205" t="inlineStr">
        <is>
          <t>Venture Capital</t>
        </is>
      </c>
      <c r="BP170" s="206" t="inlineStr">
        <is>
          <t/>
        </is>
      </c>
      <c r="BQ170" s="207" t="inlineStr">
        <is>
          <t/>
        </is>
      </c>
      <c r="BR170" s="208" t="inlineStr">
        <is>
          <t/>
        </is>
      </c>
      <c r="BS170" s="209" t="inlineStr">
        <is>
          <t>Completed</t>
        </is>
      </c>
      <c r="BT170" s="210" t="n">
        <v>42991.0</v>
      </c>
      <c r="BU170" s="211" t="n">
        <v>5.0</v>
      </c>
      <c r="BV170" s="212" t="inlineStr">
        <is>
          <t>Actual</t>
        </is>
      </c>
      <c r="BW170" s="213" t="inlineStr">
        <is>
          <t/>
        </is>
      </c>
      <c r="BX170" s="214" t="inlineStr">
        <is>
          <t/>
        </is>
      </c>
      <c r="BY170" s="215" t="inlineStr">
        <is>
          <t>Early Stage VC</t>
        </is>
      </c>
      <c r="BZ170" s="216" t="inlineStr">
        <is>
          <t/>
        </is>
      </c>
      <c r="CA170" s="217" t="inlineStr">
        <is>
          <t/>
        </is>
      </c>
      <c r="CB170" s="218" t="inlineStr">
        <is>
          <t>Venture Capital</t>
        </is>
      </c>
      <c r="CC170" s="219" t="inlineStr">
        <is>
          <t/>
        </is>
      </c>
      <c r="CD170" s="220" t="inlineStr">
        <is>
          <t/>
        </is>
      </c>
      <c r="CE170" s="221" t="inlineStr">
        <is>
          <t/>
        </is>
      </c>
      <c r="CF170" s="222" t="inlineStr">
        <is>
          <t>Completed</t>
        </is>
      </c>
      <c r="CG170" s="223" t="inlineStr">
        <is>
          <t>0,42%</t>
        </is>
      </c>
      <c r="CH170" s="224" t="inlineStr">
        <is>
          <t>91</t>
        </is>
      </c>
      <c r="CI170" s="225" t="inlineStr">
        <is>
          <t>0,02%</t>
        </is>
      </c>
      <c r="CJ170" s="226" t="inlineStr">
        <is>
          <t>3,94%</t>
        </is>
      </c>
      <c r="CK170" s="227" t="inlineStr">
        <is>
          <t>0,00%</t>
        </is>
      </c>
      <c r="CL170" s="228" t="inlineStr">
        <is>
          <t>28</t>
        </is>
      </c>
      <c r="CM170" s="229" t="inlineStr">
        <is>
          <t>0,85%</t>
        </is>
      </c>
      <c r="CN170" s="230" t="inlineStr">
        <is>
          <t>95</t>
        </is>
      </c>
      <c r="CO170" s="231" t="inlineStr">
        <is>
          <t/>
        </is>
      </c>
      <c r="CP170" s="232" t="inlineStr">
        <is>
          <t/>
        </is>
      </c>
      <c r="CQ170" s="233" t="inlineStr">
        <is>
          <t>0,00%</t>
        </is>
      </c>
      <c r="CR170" s="234" t="inlineStr">
        <is>
          <t>20</t>
        </is>
      </c>
      <c r="CS170" s="235" t="inlineStr">
        <is>
          <t>0,00%</t>
        </is>
      </c>
      <c r="CT170" s="236" t="inlineStr">
        <is>
          <t>18</t>
        </is>
      </c>
      <c r="CU170" s="237" t="inlineStr">
        <is>
          <t>1,70%</t>
        </is>
      </c>
      <c r="CV170" s="238" t="inlineStr">
        <is>
          <t>99</t>
        </is>
      </c>
      <c r="CW170" s="239" t="inlineStr">
        <is>
          <t>1,53x</t>
        </is>
      </c>
      <c r="CX170" s="240" t="inlineStr">
        <is>
          <t>59</t>
        </is>
      </c>
      <c r="CY170" s="241" t="inlineStr">
        <is>
          <t>0,00x</t>
        </is>
      </c>
      <c r="CZ170" s="242" t="inlineStr">
        <is>
          <t>0,18%</t>
        </is>
      </c>
      <c r="DA170" s="243" t="inlineStr">
        <is>
          <t>2,64x</t>
        </is>
      </c>
      <c r="DB170" s="244" t="inlineStr">
        <is>
          <t>72</t>
        </is>
      </c>
      <c r="DC170" s="245" t="inlineStr">
        <is>
          <t>0,43x</t>
        </is>
      </c>
      <c r="DD170" s="246" t="inlineStr">
        <is>
          <t>33</t>
        </is>
      </c>
      <c r="DE170" s="247" t="inlineStr">
        <is>
          <t/>
        </is>
      </c>
      <c r="DF170" s="248" t="inlineStr">
        <is>
          <t/>
        </is>
      </c>
      <c r="DG170" s="249" t="inlineStr">
        <is>
          <t>2,64x</t>
        </is>
      </c>
      <c r="DH170" s="250" t="inlineStr">
        <is>
          <t>70</t>
        </is>
      </c>
      <c r="DI170" s="251" t="inlineStr">
        <is>
          <t>0,03x</t>
        </is>
      </c>
      <c r="DJ170" s="252" t="inlineStr">
        <is>
          <t>5</t>
        </is>
      </c>
      <c r="DK170" s="253" t="inlineStr">
        <is>
          <t>0,83x</t>
        </is>
      </c>
      <c r="DL170" s="254" t="inlineStr">
        <is>
          <t>47</t>
        </is>
      </c>
      <c r="DM170" s="255" t="inlineStr">
        <is>
          <t/>
        </is>
      </c>
      <c r="DN170" s="256" t="inlineStr">
        <is>
          <t/>
        </is>
      </c>
      <c r="DO170" s="257" t="inlineStr">
        <is>
          <t/>
        </is>
      </c>
      <c r="DP170" s="258" t="inlineStr">
        <is>
          <t>24</t>
        </is>
      </c>
      <c r="DQ170" s="259" t="inlineStr">
        <is>
          <t>1</t>
        </is>
      </c>
      <c r="DR170" s="260" t="inlineStr">
        <is>
          <t>4,35%</t>
        </is>
      </c>
      <c r="DS170" s="261" t="inlineStr">
        <is>
          <t>95</t>
        </is>
      </c>
      <c r="DT170" s="262" t="inlineStr">
        <is>
          <t>0</t>
        </is>
      </c>
      <c r="DU170" s="263" t="inlineStr">
        <is>
          <t>0,00%</t>
        </is>
      </c>
      <c r="DV170" s="264" t="inlineStr">
        <is>
          <t>304</t>
        </is>
      </c>
      <c r="DW170" s="265" t="inlineStr">
        <is>
          <t>14</t>
        </is>
      </c>
      <c r="DX170" s="266" t="inlineStr">
        <is>
          <t>4,83%</t>
        </is>
      </c>
      <c r="DY170" s="267" t="inlineStr">
        <is>
          <t>PitchBook Research</t>
        </is>
      </c>
      <c r="DZ170" s="786">
        <f>HYPERLINK("https://my.pitchbook.com?c=186308-92", "View company online")</f>
      </c>
    </row>
    <row r="171">
      <c r="A171" s="9" t="inlineStr">
        <is>
          <t>65489-68</t>
        </is>
      </c>
      <c r="B171" s="10" t="inlineStr">
        <is>
          <t>CommuterClub</t>
        </is>
      </c>
      <c r="C171" s="11" t="inlineStr">
        <is>
          <t/>
        </is>
      </c>
      <c r="D171" s="12" t="inlineStr">
        <is>
          <t/>
        </is>
      </c>
      <c r="E171" s="13" t="inlineStr">
        <is>
          <t>65489-68</t>
        </is>
      </c>
      <c r="F171" s="14" t="inlineStr">
        <is>
          <t>Provider of a public transport ticketing platform intended to help consumers save money by offering commuter tickets as a digital subscription service. The company's commuter ticket service provides commuters with loans to get a yearly season ticket or travelcard but allows them to pay monthly with the advantage of signing up online in minutes and cancelling anytime with no penalty, enabling commuters to spread the large upfront price of public transportation into affordable monthly payments.</t>
        </is>
      </c>
      <c r="G171" s="15" t="inlineStr">
        <is>
          <t>Consumer Products and Services (B2C)</t>
        </is>
      </c>
      <c r="H171" s="16" t="inlineStr">
        <is>
          <t>Services (Non-Financial)</t>
        </is>
      </c>
      <c r="I171" s="17" t="inlineStr">
        <is>
          <t>Other Services (B2C Non-Financial)</t>
        </is>
      </c>
      <c r="J171" s="18" t="inlineStr">
        <is>
          <t>Other Services (B2C Non-Financial)*; Social/Platform Software</t>
        </is>
      </c>
      <c r="K171" s="19" t="inlineStr">
        <is>
          <t>FinTech</t>
        </is>
      </c>
      <c r="L171" s="20" t="inlineStr">
        <is>
          <t>Angel-Backed</t>
        </is>
      </c>
      <c r="M171" s="21" t="n">
        <v>5.03</v>
      </c>
      <c r="N171" s="22" t="inlineStr">
        <is>
          <t>Generating Revenue</t>
        </is>
      </c>
      <c r="O171" s="23" t="inlineStr">
        <is>
          <t>Privately Held (backing)</t>
        </is>
      </c>
      <c r="P171" s="24" t="inlineStr">
        <is>
          <t>Pre-venture</t>
        </is>
      </c>
      <c r="Q171" s="25" t="inlineStr">
        <is>
          <t>www.commuterclub.co.uk</t>
        </is>
      </c>
      <c r="R171" s="26" t="n">
        <v>12.0</v>
      </c>
      <c r="S171" s="27" t="inlineStr">
        <is>
          <t/>
        </is>
      </c>
      <c r="T171" s="28" t="inlineStr">
        <is>
          <t/>
        </is>
      </c>
      <c r="U171" s="29" t="n">
        <v>2013.0</v>
      </c>
      <c r="V171" s="30" t="inlineStr">
        <is>
          <t/>
        </is>
      </c>
      <c r="W171" s="31" t="inlineStr">
        <is>
          <t/>
        </is>
      </c>
      <c r="X171" s="32" t="inlineStr">
        <is>
          <t/>
        </is>
      </c>
      <c r="Y171" s="33" t="inlineStr">
        <is>
          <t/>
        </is>
      </c>
      <c r="Z171" s="34" t="inlineStr">
        <is>
          <t/>
        </is>
      </c>
      <c r="AA171" s="35" t="inlineStr">
        <is>
          <t/>
        </is>
      </c>
      <c r="AB171" s="36" t="inlineStr">
        <is>
          <t/>
        </is>
      </c>
      <c r="AC171" s="37" t="inlineStr">
        <is>
          <t/>
        </is>
      </c>
      <c r="AD171" s="38" t="inlineStr">
        <is>
          <t/>
        </is>
      </c>
      <c r="AE171" s="39" t="inlineStr">
        <is>
          <t>96961-96P</t>
        </is>
      </c>
      <c r="AF171" s="40" t="inlineStr">
        <is>
          <t>Petko Plachkov</t>
        </is>
      </c>
      <c r="AG171" s="41" t="inlineStr">
        <is>
          <t>Co-Founder &amp; Managing Director</t>
        </is>
      </c>
      <c r="AH171" s="42" t="inlineStr">
        <is>
          <t>petko@commuterclub.co.uk</t>
        </is>
      </c>
      <c r="AI171" s="43" t="inlineStr">
        <is>
          <t>+44 (0)20 3476 5002</t>
        </is>
      </c>
      <c r="AJ171" s="44" t="inlineStr">
        <is>
          <t>London, United Kingdom</t>
        </is>
      </c>
      <c r="AK171" s="45" t="inlineStr">
        <is>
          <t>Rivington Place</t>
        </is>
      </c>
      <c r="AL171" s="46" t="inlineStr">
        <is>
          <t/>
        </is>
      </c>
      <c r="AM171" s="47" t="inlineStr">
        <is>
          <t>London</t>
        </is>
      </c>
      <c r="AN171" s="48" t="inlineStr">
        <is>
          <t>England</t>
        </is>
      </c>
      <c r="AO171" s="49" t="inlineStr">
        <is>
          <t>EC2A 3BA</t>
        </is>
      </c>
      <c r="AP171" s="50" t="inlineStr">
        <is>
          <t>United Kingdom</t>
        </is>
      </c>
      <c r="AQ171" s="51" t="inlineStr">
        <is>
          <t>+44 (0)20 3476 5002</t>
        </is>
      </c>
      <c r="AR171" s="52" t="inlineStr">
        <is>
          <t/>
        </is>
      </c>
      <c r="AS171" s="53" t="inlineStr">
        <is>
          <t>info@commuterclub.co.uk</t>
        </is>
      </c>
      <c r="AT171" s="54" t="inlineStr">
        <is>
          <t>Europe</t>
        </is>
      </c>
      <c r="AU171" s="55" t="inlineStr">
        <is>
          <t>Western Europe</t>
        </is>
      </c>
      <c r="AV171" s="56" t="inlineStr">
        <is>
          <t>The company raised GBP 2.3 million of funding in a deal led by Wadhawan Global Capital on October 30, 2017. Peter Jackson, Gavin Casey, Chris Adelsbach and Andy Murray also participated in the round. The company intends to use the funds to continue to expand its operations and business reach.</t>
        </is>
      </c>
      <c r="AW171" s="57" t="inlineStr">
        <is>
          <t>Adam Knight, Andy Murray, Chris Adelsbach, Gavin Casey, Kevin Reynolds, Peter Jackson, Wadhawan Holdings, Will Becker</t>
        </is>
      </c>
      <c r="AX171" s="58" t="n">
        <v>8.0</v>
      </c>
      <c r="AY171" s="59" t="inlineStr">
        <is>
          <t/>
        </is>
      </c>
      <c r="AZ171" s="60" t="inlineStr">
        <is>
          <t/>
        </is>
      </c>
      <c r="BA171" s="61" t="inlineStr">
        <is>
          <t/>
        </is>
      </c>
      <c r="BB171" s="62" t="inlineStr">
        <is>
          <t>Wadhawan Holdings (www.wgcworld.com)</t>
        </is>
      </c>
      <c r="BC171" s="63" t="inlineStr">
        <is>
          <t/>
        </is>
      </c>
      <c r="BD171" s="64" t="inlineStr">
        <is>
          <t/>
        </is>
      </c>
      <c r="BE171" s="65" t="inlineStr">
        <is>
          <t/>
        </is>
      </c>
      <c r="BF171" s="66" t="inlineStr">
        <is>
          <t>Seedrs (Lead Manager or Arranger)</t>
        </is>
      </c>
      <c r="BG171" s="67" t="n">
        <v>41275.0</v>
      </c>
      <c r="BH171" s="68" t="n">
        <v>0.6</v>
      </c>
      <c r="BI171" s="69" t="inlineStr">
        <is>
          <t>Actual</t>
        </is>
      </c>
      <c r="BJ171" s="70" t="inlineStr">
        <is>
          <t/>
        </is>
      </c>
      <c r="BK171" s="71" t="inlineStr">
        <is>
          <t/>
        </is>
      </c>
      <c r="BL171" s="72" t="inlineStr">
        <is>
          <t>Angel (individual)</t>
        </is>
      </c>
      <c r="BM171" s="73" t="inlineStr">
        <is>
          <t>Angel</t>
        </is>
      </c>
      <c r="BN171" s="74" t="inlineStr">
        <is>
          <t/>
        </is>
      </c>
      <c r="BO171" s="75" t="inlineStr">
        <is>
          <t>Individual</t>
        </is>
      </c>
      <c r="BP171" s="76" t="inlineStr">
        <is>
          <t/>
        </is>
      </c>
      <c r="BQ171" s="77" t="inlineStr">
        <is>
          <t/>
        </is>
      </c>
      <c r="BR171" s="78" t="inlineStr">
        <is>
          <t/>
        </is>
      </c>
      <c r="BS171" s="79" t="inlineStr">
        <is>
          <t>Completed</t>
        </is>
      </c>
      <c r="BT171" s="80" t="n">
        <v>43038.0</v>
      </c>
      <c r="BU171" s="81" t="n">
        <v>2.58</v>
      </c>
      <c r="BV171" s="82" t="inlineStr">
        <is>
          <t>Actual</t>
        </is>
      </c>
      <c r="BW171" s="83" t="inlineStr">
        <is>
          <t/>
        </is>
      </c>
      <c r="BX171" s="84" t="inlineStr">
        <is>
          <t/>
        </is>
      </c>
      <c r="BY171" s="85" t="inlineStr">
        <is>
          <t>Angel (individual)</t>
        </is>
      </c>
      <c r="BZ171" s="86" t="inlineStr">
        <is>
          <t>Angel</t>
        </is>
      </c>
      <c r="CA171" s="87" t="inlineStr">
        <is>
          <t/>
        </is>
      </c>
      <c r="CB171" s="88" t="inlineStr">
        <is>
          <t>Individual</t>
        </is>
      </c>
      <c r="CC171" s="89" t="inlineStr">
        <is>
          <t/>
        </is>
      </c>
      <c r="CD171" s="90" t="inlineStr">
        <is>
          <t/>
        </is>
      </c>
      <c r="CE171" s="91" t="inlineStr">
        <is>
          <t/>
        </is>
      </c>
      <c r="CF171" s="92" t="inlineStr">
        <is>
          <t>Completed</t>
        </is>
      </c>
      <c r="CG171" s="93" t="inlineStr">
        <is>
          <t>1,04%</t>
        </is>
      </c>
      <c r="CH171" s="94" t="inlineStr">
        <is>
          <t>95</t>
        </is>
      </c>
      <c r="CI171" s="95" t="inlineStr">
        <is>
          <t>0,05%</t>
        </is>
      </c>
      <c r="CJ171" s="96" t="inlineStr">
        <is>
          <t>5,48%</t>
        </is>
      </c>
      <c r="CK171" s="97" t="inlineStr">
        <is>
          <t>0,30%</t>
        </is>
      </c>
      <c r="CL171" s="98" t="inlineStr">
        <is>
          <t>92</t>
        </is>
      </c>
      <c r="CM171" s="99" t="inlineStr">
        <is>
          <t>1,77%</t>
        </is>
      </c>
      <c r="CN171" s="100" t="inlineStr">
        <is>
          <t>98</t>
        </is>
      </c>
      <c r="CO171" s="101" t="inlineStr">
        <is>
          <t>1,65%</t>
        </is>
      </c>
      <c r="CP171" s="102" t="inlineStr">
        <is>
          <t>95</t>
        </is>
      </c>
      <c r="CQ171" s="103" t="inlineStr">
        <is>
          <t>-1,05%</t>
        </is>
      </c>
      <c r="CR171" s="104" t="inlineStr">
        <is>
          <t>9</t>
        </is>
      </c>
      <c r="CS171" s="105" t="inlineStr">
        <is>
          <t>1,77%</t>
        </is>
      </c>
      <c r="CT171" s="106" t="inlineStr">
        <is>
          <t>98</t>
        </is>
      </c>
      <c r="CU171" s="107" t="inlineStr">
        <is>
          <t/>
        </is>
      </c>
      <c r="CV171" s="108" t="inlineStr">
        <is>
          <t/>
        </is>
      </c>
      <c r="CW171" s="109" t="inlineStr">
        <is>
          <t>22,17x</t>
        </is>
      </c>
      <c r="CX171" s="110" t="inlineStr">
        <is>
          <t>93</t>
        </is>
      </c>
      <c r="CY171" s="111" t="inlineStr">
        <is>
          <t>0,14x</t>
        </is>
      </c>
      <c r="CZ171" s="112" t="inlineStr">
        <is>
          <t>0,62%</t>
        </is>
      </c>
      <c r="DA171" s="113" t="inlineStr">
        <is>
          <t>18,03x</t>
        </is>
      </c>
      <c r="DB171" s="114" t="inlineStr">
        <is>
          <t>93</t>
        </is>
      </c>
      <c r="DC171" s="115" t="inlineStr">
        <is>
          <t>26,31x</t>
        </is>
      </c>
      <c r="DD171" s="116" t="inlineStr">
        <is>
          <t>91</t>
        </is>
      </c>
      <c r="DE171" s="117" t="inlineStr">
        <is>
          <t>31,01x</t>
        </is>
      </c>
      <c r="DF171" s="118" t="inlineStr">
        <is>
          <t>95</t>
        </is>
      </c>
      <c r="DG171" s="119" t="inlineStr">
        <is>
          <t>5,06x</t>
        </is>
      </c>
      <c r="DH171" s="120" t="inlineStr">
        <is>
          <t>79</t>
        </is>
      </c>
      <c r="DI171" s="121" t="inlineStr">
        <is>
          <t>26,31x</t>
        </is>
      </c>
      <c r="DJ171" s="122" t="inlineStr">
        <is>
          <t>89</t>
        </is>
      </c>
      <c r="DK171" s="123" t="inlineStr">
        <is>
          <t/>
        </is>
      </c>
      <c r="DL171" s="124" t="inlineStr">
        <is>
          <t/>
        </is>
      </c>
      <c r="DM171" s="125" t="inlineStr">
        <is>
          <t>11.510</t>
        </is>
      </c>
      <c r="DN171" s="126" t="inlineStr">
        <is>
          <t>-12</t>
        </is>
      </c>
      <c r="DO171" s="127" t="inlineStr">
        <is>
          <t>-0,10%</t>
        </is>
      </c>
      <c r="DP171" s="128" t="inlineStr">
        <is>
          <t>20.652</t>
        </is>
      </c>
      <c r="DQ171" s="129" t="inlineStr">
        <is>
          <t>326</t>
        </is>
      </c>
      <c r="DR171" s="130" t="inlineStr">
        <is>
          <t>1,60%</t>
        </is>
      </c>
      <c r="DS171" s="131" t="inlineStr">
        <is>
          <t>182</t>
        </is>
      </c>
      <c r="DT171" s="132" t="inlineStr">
        <is>
          <t>-2</t>
        </is>
      </c>
      <c r="DU171" s="133" t="inlineStr">
        <is>
          <t>-1,09%</t>
        </is>
      </c>
      <c r="DV171" s="134" t="inlineStr">
        <is>
          <t/>
        </is>
      </c>
      <c r="DW171" s="135" t="inlineStr">
        <is>
          <t/>
        </is>
      </c>
      <c r="DX171" s="136" t="inlineStr">
        <is>
          <t/>
        </is>
      </c>
      <c r="DY171" s="137" t="inlineStr">
        <is>
          <t>PitchBook Research</t>
        </is>
      </c>
      <c r="DZ171" s="785">
        <f>HYPERLINK("https://my.pitchbook.com?c=65489-68", "View company online")</f>
      </c>
    </row>
    <row r="172">
      <c r="A172" s="139" t="inlineStr">
        <is>
          <t>110623-15</t>
        </is>
      </c>
      <c r="B172" s="140" t="inlineStr">
        <is>
          <t>Autologyx</t>
        </is>
      </c>
      <c r="C172" s="141" t="inlineStr">
        <is>
          <t>NowWeComply</t>
        </is>
      </c>
      <c r="D172" s="142" t="inlineStr">
        <is>
          <t/>
        </is>
      </c>
      <c r="E172" s="143" t="inlineStr">
        <is>
          <t>110623-15</t>
        </is>
      </c>
      <c r="F172" s="144" t="inlineStr">
        <is>
          <t>Provider of a workflow automation software designed to understand and drive any business process, no matter how complicated. The company's workflow automation software uses cloud-based technology allowing businesses to edit workflow, manage administration processes, feature powerful scheduling, document automation and electronic document signing, enabling companies to reduce headcount and risk.</t>
        </is>
      </c>
      <c r="G172" s="145" t="inlineStr">
        <is>
          <t>Information Technology</t>
        </is>
      </c>
      <c r="H172" s="146" t="inlineStr">
        <is>
          <t>Software</t>
        </is>
      </c>
      <c r="I172" s="147" t="inlineStr">
        <is>
          <t>Automation/Workflow Software</t>
        </is>
      </c>
      <c r="J172" s="148" t="inlineStr">
        <is>
          <t>Automation/Workflow Software*; Other Commercial Services</t>
        </is>
      </c>
      <c r="K172" s="149" t="inlineStr">
        <is>
          <t>SaaS</t>
        </is>
      </c>
      <c r="L172" s="150" t="inlineStr">
        <is>
          <t>Venture Capital-Backed</t>
        </is>
      </c>
      <c r="M172" s="151" t="n">
        <v>5.08</v>
      </c>
      <c r="N172" s="152" t="inlineStr">
        <is>
          <t>Generating Revenue</t>
        </is>
      </c>
      <c r="O172" s="153" t="inlineStr">
        <is>
          <t>Privately Held (backing)</t>
        </is>
      </c>
      <c r="P172" s="154" t="inlineStr">
        <is>
          <t>Venture Capital</t>
        </is>
      </c>
      <c r="Q172" s="155" t="inlineStr">
        <is>
          <t>www.autologyx.com</t>
        </is>
      </c>
      <c r="R172" s="156" t="n">
        <v>11.0</v>
      </c>
      <c r="S172" s="157" t="inlineStr">
        <is>
          <t/>
        </is>
      </c>
      <c r="T172" s="158" t="inlineStr">
        <is>
          <t/>
        </is>
      </c>
      <c r="U172" s="159" t="n">
        <v>2011.0</v>
      </c>
      <c r="V172" s="160" t="inlineStr">
        <is>
          <t/>
        </is>
      </c>
      <c r="W172" s="161" t="inlineStr">
        <is>
          <t/>
        </is>
      </c>
      <c r="X172" s="162" t="inlineStr">
        <is>
          <t/>
        </is>
      </c>
      <c r="Y172" s="163" t="inlineStr">
        <is>
          <t/>
        </is>
      </c>
      <c r="Z172" s="164" t="inlineStr">
        <is>
          <t/>
        </is>
      </c>
      <c r="AA172" s="165" t="inlineStr">
        <is>
          <t/>
        </is>
      </c>
      <c r="AB172" s="166" t="inlineStr">
        <is>
          <t/>
        </is>
      </c>
      <c r="AC172" s="167" t="inlineStr">
        <is>
          <t/>
        </is>
      </c>
      <c r="AD172" s="168" t="inlineStr">
        <is>
          <t/>
        </is>
      </c>
      <c r="AE172" s="169" t="inlineStr">
        <is>
          <t>96531-13P</t>
        </is>
      </c>
      <c r="AF172" s="170" t="inlineStr">
        <is>
          <t>Benjamin Stoneham</t>
        </is>
      </c>
      <c r="AG172" s="171" t="inlineStr">
        <is>
          <t>Founder, Chief Executive Officer &amp; Board Member</t>
        </is>
      </c>
      <c r="AH172" s="172" t="inlineStr">
        <is>
          <t>benjamin@nowwecomply.com</t>
        </is>
      </c>
      <c r="AI172" s="173" t="inlineStr">
        <is>
          <t>+44 (0)20 3884 1814</t>
        </is>
      </c>
      <c r="AJ172" s="174" t="inlineStr">
        <is>
          <t>Farnborough, United Kingdom</t>
        </is>
      </c>
      <c r="AK172" s="175" t="inlineStr">
        <is>
          <t>Cody Technology Park</t>
        </is>
      </c>
      <c r="AL172" s="176" t="inlineStr">
        <is>
          <t>Old Ively Road, Hampshire</t>
        </is>
      </c>
      <c r="AM172" s="177" t="inlineStr">
        <is>
          <t>Farnborough</t>
        </is>
      </c>
      <c r="AN172" s="178" t="inlineStr">
        <is>
          <t>England</t>
        </is>
      </c>
      <c r="AO172" s="179" t="inlineStr">
        <is>
          <t>GU14 0LX</t>
        </is>
      </c>
      <c r="AP172" s="180" t="inlineStr">
        <is>
          <t>United Kingdom</t>
        </is>
      </c>
      <c r="AQ172" s="181" t="inlineStr">
        <is>
          <t>+44 (0)20 3884 1814</t>
        </is>
      </c>
      <c r="AR172" s="182" t="inlineStr">
        <is>
          <t/>
        </is>
      </c>
      <c r="AS172" s="183" t="inlineStr">
        <is>
          <t/>
        </is>
      </c>
      <c r="AT172" s="184" t="inlineStr">
        <is>
          <t>Europe</t>
        </is>
      </c>
      <c r="AU172" s="185" t="inlineStr">
        <is>
          <t>Western Europe</t>
        </is>
      </c>
      <c r="AV172" s="186" t="inlineStr">
        <is>
          <t>The company raised GBP 1.5 of pre-Series A venture funding in a round led by Beacon Capital on November 7, 2017. Angel CoFund and Richard Hargreaves also participated in this round. The funding will be used to further accelerate the company's go-to-market strategy.</t>
        </is>
      </c>
      <c r="AW172" s="187" t="inlineStr">
        <is>
          <t>Angel CoFund, ARC InterCapital, Beacon Capital, Funding London, Kevin Chong, London Co-Investment Fund, Richard Hargreaves, Stephen Bullock</t>
        </is>
      </c>
      <c r="AX172" s="188" t="n">
        <v>8.0</v>
      </c>
      <c r="AY172" s="189" t="inlineStr">
        <is>
          <t/>
        </is>
      </c>
      <c r="AZ172" s="190" t="inlineStr">
        <is>
          <t/>
        </is>
      </c>
      <c r="BA172" s="191" t="inlineStr">
        <is>
          <t/>
        </is>
      </c>
      <c r="BB172" s="192" t="inlineStr">
        <is>
          <t>Angel CoFund (www.angelcofund.co.uk), ARC InterCapital (www.arcintercapital.com), Beacon Capital (www.beaconcapital.co.uk), Funding London (www.fundinglondon.co.uk), London Co-Investment Fund (www.lcif.co)</t>
        </is>
      </c>
      <c r="BC172" s="193" t="inlineStr">
        <is>
          <t/>
        </is>
      </c>
      <c r="BD172" s="194" t="inlineStr">
        <is>
          <t/>
        </is>
      </c>
      <c r="BE172" s="195" t="inlineStr">
        <is>
          <t>Gordons Partnership (Legal Advisor)</t>
        </is>
      </c>
      <c r="BF172" s="196" t="inlineStr">
        <is>
          <t>SyndicateRoom (Lead Manager or Arranger)</t>
        </is>
      </c>
      <c r="BG172" s="197" t="n">
        <v>42079.0</v>
      </c>
      <c r="BH172" s="198" t="n">
        <v>0.48</v>
      </c>
      <c r="BI172" s="199" t="inlineStr">
        <is>
          <t>Actual</t>
        </is>
      </c>
      <c r="BJ172" s="200" t="n">
        <v>2.74</v>
      </c>
      <c r="BK172" s="201" t="inlineStr">
        <is>
          <t>Actual</t>
        </is>
      </c>
      <c r="BL172" s="202" t="inlineStr">
        <is>
          <t>Early Stage VC</t>
        </is>
      </c>
      <c r="BM172" s="203" t="inlineStr">
        <is>
          <t/>
        </is>
      </c>
      <c r="BN172" s="204" t="inlineStr">
        <is>
          <t/>
        </is>
      </c>
      <c r="BO172" s="205" t="inlineStr">
        <is>
          <t>Venture Capital</t>
        </is>
      </c>
      <c r="BP172" s="206" t="inlineStr">
        <is>
          <t/>
        </is>
      </c>
      <c r="BQ172" s="207" t="inlineStr">
        <is>
          <t/>
        </is>
      </c>
      <c r="BR172" s="208" t="inlineStr">
        <is>
          <t/>
        </is>
      </c>
      <c r="BS172" s="209" t="inlineStr">
        <is>
          <t>Completed</t>
        </is>
      </c>
      <c r="BT172" s="210" t="n">
        <v>43046.0</v>
      </c>
      <c r="BU172" s="211" t="n">
        <v>1.68</v>
      </c>
      <c r="BV172" s="212" t="inlineStr">
        <is>
          <t>Actual</t>
        </is>
      </c>
      <c r="BW172" s="213" t="inlineStr">
        <is>
          <t/>
        </is>
      </c>
      <c r="BX172" s="214" t="inlineStr">
        <is>
          <t/>
        </is>
      </c>
      <c r="BY172" s="215" t="inlineStr">
        <is>
          <t>Early Stage VC</t>
        </is>
      </c>
      <c r="BZ172" s="216" t="inlineStr">
        <is>
          <t/>
        </is>
      </c>
      <c r="CA172" s="217" t="inlineStr">
        <is>
          <t/>
        </is>
      </c>
      <c r="CB172" s="218" t="inlineStr">
        <is>
          <t>Venture Capital</t>
        </is>
      </c>
      <c r="CC172" s="219" t="inlineStr">
        <is>
          <t/>
        </is>
      </c>
      <c r="CD172" s="220" t="inlineStr">
        <is>
          <t/>
        </is>
      </c>
      <c r="CE172" s="221" t="inlineStr">
        <is>
          <t/>
        </is>
      </c>
      <c r="CF172" s="222" t="inlineStr">
        <is>
          <t>Completed</t>
        </is>
      </c>
      <c r="CG172" s="223" t="inlineStr">
        <is>
          <t>0,03%</t>
        </is>
      </c>
      <c r="CH172" s="224" t="inlineStr">
        <is>
          <t>76</t>
        </is>
      </c>
      <c r="CI172" s="225" t="inlineStr">
        <is>
          <t>0,01%</t>
        </is>
      </c>
      <c r="CJ172" s="226" t="inlineStr">
        <is>
          <t>79,64%</t>
        </is>
      </c>
      <c r="CK172" s="227" t="inlineStr">
        <is>
          <t>0,00%</t>
        </is>
      </c>
      <c r="CL172" s="228" t="inlineStr">
        <is>
          <t>28</t>
        </is>
      </c>
      <c r="CM172" s="229" t="inlineStr">
        <is>
          <t>0,07%</t>
        </is>
      </c>
      <c r="CN172" s="230" t="inlineStr">
        <is>
          <t>53</t>
        </is>
      </c>
      <c r="CO172" s="231" t="inlineStr">
        <is>
          <t>0,00%</t>
        </is>
      </c>
      <c r="CP172" s="232" t="inlineStr">
        <is>
          <t>37</t>
        </is>
      </c>
      <c r="CQ172" s="233" t="inlineStr">
        <is>
          <t/>
        </is>
      </c>
      <c r="CR172" s="234" t="inlineStr">
        <is>
          <t/>
        </is>
      </c>
      <c r="CS172" s="235" t="inlineStr">
        <is>
          <t>0,00%</t>
        </is>
      </c>
      <c r="CT172" s="236" t="inlineStr">
        <is>
          <t>18</t>
        </is>
      </c>
      <c r="CU172" s="237" t="inlineStr">
        <is>
          <t>0,13%</t>
        </is>
      </c>
      <c r="CV172" s="238" t="inlineStr">
        <is>
          <t>70</t>
        </is>
      </c>
      <c r="CW172" s="239" t="inlineStr">
        <is>
          <t>0,68x</t>
        </is>
      </c>
      <c r="CX172" s="240" t="inlineStr">
        <is>
          <t>40</t>
        </is>
      </c>
      <c r="CY172" s="241" t="inlineStr">
        <is>
          <t>0,00x</t>
        </is>
      </c>
      <c r="CZ172" s="242" t="inlineStr">
        <is>
          <t>-0,43%</t>
        </is>
      </c>
      <c r="DA172" s="243" t="inlineStr">
        <is>
          <t>0,18x</t>
        </is>
      </c>
      <c r="DB172" s="244" t="inlineStr">
        <is>
          <t>16</t>
        </is>
      </c>
      <c r="DC172" s="245" t="inlineStr">
        <is>
          <t>1,17x</t>
        </is>
      </c>
      <c r="DD172" s="246" t="inlineStr">
        <is>
          <t>51</t>
        </is>
      </c>
      <c r="DE172" s="247" t="inlineStr">
        <is>
          <t>0,18x</t>
        </is>
      </c>
      <c r="DF172" s="248" t="inlineStr">
        <is>
          <t>10</t>
        </is>
      </c>
      <c r="DG172" s="249" t="inlineStr">
        <is>
          <t/>
        </is>
      </c>
      <c r="DH172" s="250" t="inlineStr">
        <is>
          <t/>
        </is>
      </c>
      <c r="DI172" s="251" t="inlineStr">
        <is>
          <t>0,03x</t>
        </is>
      </c>
      <c r="DJ172" s="252" t="inlineStr">
        <is>
          <t>5</t>
        </is>
      </c>
      <c r="DK172" s="253" t="inlineStr">
        <is>
          <t>2,31x</t>
        </is>
      </c>
      <c r="DL172" s="254" t="inlineStr">
        <is>
          <t>66</t>
        </is>
      </c>
      <c r="DM172" s="255" t="inlineStr">
        <is>
          <t>73</t>
        </is>
      </c>
      <c r="DN172" s="256" t="inlineStr">
        <is>
          <t>-12</t>
        </is>
      </c>
      <c r="DO172" s="257" t="inlineStr">
        <is>
          <t>-14,12%</t>
        </is>
      </c>
      <c r="DP172" s="258" t="inlineStr">
        <is>
          <t>25</t>
        </is>
      </c>
      <c r="DQ172" s="259" t="inlineStr">
        <is>
          <t>0</t>
        </is>
      </c>
      <c r="DR172" s="260" t="inlineStr">
        <is>
          <t>0,00%</t>
        </is>
      </c>
      <c r="DS172" s="261" t="inlineStr">
        <is>
          <t/>
        </is>
      </c>
      <c r="DT172" s="262" t="inlineStr">
        <is>
          <t/>
        </is>
      </c>
      <c r="DU172" s="263" t="inlineStr">
        <is>
          <t/>
        </is>
      </c>
      <c r="DV172" s="264" t="inlineStr">
        <is>
          <t>861</t>
        </is>
      </c>
      <c r="DW172" s="265" t="inlineStr">
        <is>
          <t>2</t>
        </is>
      </c>
      <c r="DX172" s="266" t="inlineStr">
        <is>
          <t>0,23%</t>
        </is>
      </c>
      <c r="DY172" s="267" t="inlineStr">
        <is>
          <t>PitchBook Research</t>
        </is>
      </c>
      <c r="DZ172" s="786">
        <f>HYPERLINK("https://my.pitchbook.com?c=110623-15", "View company online")</f>
      </c>
    </row>
    <row r="173">
      <c r="A173" s="9" t="inlineStr">
        <is>
          <t>180663-04</t>
        </is>
      </c>
      <c r="B173" s="10" t="inlineStr">
        <is>
          <t>Adfenix</t>
        </is>
      </c>
      <c r="C173" s="11" t="inlineStr">
        <is>
          <t/>
        </is>
      </c>
      <c r="D173" s="12" t="inlineStr">
        <is>
          <t/>
        </is>
      </c>
      <c r="E173" s="13" t="inlineStr">
        <is>
          <t>180663-04</t>
        </is>
      </c>
      <c r="F173" s="14" t="inlineStr">
        <is>
          <t>Provider of an AI-driven technology platform intended to help in advertisements for the real estate sector. The company's AI-driven technology platform empowers real estate agents to advertise their properties and the brand to the right people on social media.</t>
        </is>
      </c>
      <c r="G173" s="15" t="inlineStr">
        <is>
          <t>Information Technology</t>
        </is>
      </c>
      <c r="H173" s="16" t="inlineStr">
        <is>
          <t>Software</t>
        </is>
      </c>
      <c r="I173" s="17" t="inlineStr">
        <is>
          <t>Application Software</t>
        </is>
      </c>
      <c r="J173" s="18" t="inlineStr">
        <is>
          <t>Application Software*; Media and Information Services (B2B); Business/Productivity Software</t>
        </is>
      </c>
      <c r="K173" s="19" t="inlineStr">
        <is>
          <t>Marketing Tech</t>
        </is>
      </c>
      <c r="L173" s="20" t="inlineStr">
        <is>
          <t>Venture Capital-Backed</t>
        </is>
      </c>
      <c r="M173" s="21" t="n">
        <v>5.1</v>
      </c>
      <c r="N173" s="22" t="inlineStr">
        <is>
          <t>Generating Revenue</t>
        </is>
      </c>
      <c r="O173" s="23" t="inlineStr">
        <is>
          <t>Privately Held (backing)</t>
        </is>
      </c>
      <c r="P173" s="24" t="inlineStr">
        <is>
          <t>Venture Capital</t>
        </is>
      </c>
      <c r="Q173" s="25" t="inlineStr">
        <is>
          <t>www.adfenix.com</t>
        </is>
      </c>
      <c r="R173" s="26" t="n">
        <v>9.0</v>
      </c>
      <c r="S173" s="27" t="inlineStr">
        <is>
          <t/>
        </is>
      </c>
      <c r="T173" s="28" t="inlineStr">
        <is>
          <t/>
        </is>
      </c>
      <c r="U173" s="29" t="n">
        <v>2014.0</v>
      </c>
      <c r="V173" s="30" t="inlineStr">
        <is>
          <t/>
        </is>
      </c>
      <c r="W173" s="31" t="inlineStr">
        <is>
          <t/>
        </is>
      </c>
      <c r="X173" s="32" t="inlineStr">
        <is>
          <t/>
        </is>
      </c>
      <c r="Y173" s="33" t="n">
        <v>1.07191</v>
      </c>
      <c r="Z173" s="34" t="inlineStr">
        <is>
          <t/>
        </is>
      </c>
      <c r="AA173" s="35" t="n">
        <v>0.00949</v>
      </c>
      <c r="AB173" s="36" t="inlineStr">
        <is>
          <t/>
        </is>
      </c>
      <c r="AC173" s="37" t="n">
        <v>0.00949</v>
      </c>
      <c r="AD173" s="38" t="inlineStr">
        <is>
          <t>FY 2016</t>
        </is>
      </c>
      <c r="AE173" s="39" t="inlineStr">
        <is>
          <t>173098-81P</t>
        </is>
      </c>
      <c r="AF173" s="40" t="inlineStr">
        <is>
          <t>Victor Sjöblom</t>
        </is>
      </c>
      <c r="AG173" s="41" t="inlineStr">
        <is>
          <t>Chief Financial Officer &amp; International Sales</t>
        </is>
      </c>
      <c r="AH173" s="42" t="inlineStr">
        <is>
          <t>victor@adfenix.com</t>
        </is>
      </c>
      <c r="AI173" s="43" t="inlineStr">
        <is>
          <t/>
        </is>
      </c>
      <c r="AJ173" s="44" t="inlineStr">
        <is>
          <t>Göteborg, Sweden</t>
        </is>
      </c>
      <c r="AK173" s="45" t="inlineStr">
        <is>
          <t>Västra Hamngatan 7C</t>
        </is>
      </c>
      <c r="AL173" s="46" t="inlineStr">
        <is>
          <t/>
        </is>
      </c>
      <c r="AM173" s="47" t="inlineStr">
        <is>
          <t>Göteborg</t>
        </is>
      </c>
      <c r="AN173" s="48" t="inlineStr">
        <is>
          <t/>
        </is>
      </c>
      <c r="AO173" s="49" t="inlineStr">
        <is>
          <t>411 17</t>
        </is>
      </c>
      <c r="AP173" s="50" t="inlineStr">
        <is>
          <t>Sweden</t>
        </is>
      </c>
      <c r="AQ173" s="51" t="inlineStr">
        <is>
          <t/>
        </is>
      </c>
      <c r="AR173" s="52" t="inlineStr">
        <is>
          <t/>
        </is>
      </c>
      <c r="AS173" s="53" t="inlineStr">
        <is>
          <t>info@adfenix.com</t>
        </is>
      </c>
      <c r="AT173" s="54" t="inlineStr">
        <is>
          <t>Europe</t>
        </is>
      </c>
      <c r="AU173" s="55" t="inlineStr">
        <is>
          <t>Northern Europe</t>
        </is>
      </c>
      <c r="AV173" s="56" t="inlineStr">
        <is>
          <t>The company raised $6 million of Series A venture funding from lead investor Notion Capital on October 24, 2017. Industrifonden and Goodfellows also participated. The funds will be used to boost the company's presence in the Nordics, the UK, and Australia with a view to reach further into Europe and the US in 2018.</t>
        </is>
      </c>
      <c r="AW173" s="57" t="inlineStr">
        <is>
          <t>GoodFellows, Industrifonden, Notion Capital</t>
        </is>
      </c>
      <c r="AX173" s="58" t="n">
        <v>3.0</v>
      </c>
      <c r="AY173" s="59" t="inlineStr">
        <is>
          <t/>
        </is>
      </c>
      <c r="AZ173" s="60" t="inlineStr">
        <is>
          <t/>
        </is>
      </c>
      <c r="BA173" s="61" t="inlineStr">
        <is>
          <t/>
        </is>
      </c>
      <c r="BB173" s="62" t="inlineStr">
        <is>
          <t>GoodFellows (goodfellows.se), Industrifonden (www.industrifonden.com), Notion Capital (www.notioncapital.com)</t>
        </is>
      </c>
      <c r="BC173" s="63" t="inlineStr">
        <is>
          <t/>
        </is>
      </c>
      <c r="BD173" s="64" t="inlineStr">
        <is>
          <t/>
        </is>
      </c>
      <c r="BE173" s="65" t="inlineStr">
        <is>
          <t/>
        </is>
      </c>
      <c r="BF173" s="66" t="inlineStr">
        <is>
          <t>Elevera Advisers (Advisor: General)</t>
        </is>
      </c>
      <c r="BG173" s="67" t="n">
        <v>43032.0</v>
      </c>
      <c r="BH173" s="68" t="n">
        <v>5.1</v>
      </c>
      <c r="BI173" s="69" t="inlineStr">
        <is>
          <t>Actual</t>
        </is>
      </c>
      <c r="BJ173" s="70" t="inlineStr">
        <is>
          <t/>
        </is>
      </c>
      <c r="BK173" s="71" t="inlineStr">
        <is>
          <t/>
        </is>
      </c>
      <c r="BL173" s="72" t="inlineStr">
        <is>
          <t>Early Stage VC</t>
        </is>
      </c>
      <c r="BM173" s="73" t="inlineStr">
        <is>
          <t>Series A</t>
        </is>
      </c>
      <c r="BN173" s="74" t="inlineStr">
        <is>
          <t/>
        </is>
      </c>
      <c r="BO173" s="75" t="inlineStr">
        <is>
          <t>Venture Capital</t>
        </is>
      </c>
      <c r="BP173" s="76" t="inlineStr">
        <is>
          <t/>
        </is>
      </c>
      <c r="BQ173" s="77" t="inlineStr">
        <is>
          <t/>
        </is>
      </c>
      <c r="BR173" s="78" t="inlineStr">
        <is>
          <t/>
        </is>
      </c>
      <c r="BS173" s="79" t="inlineStr">
        <is>
          <t>Completed</t>
        </is>
      </c>
      <c r="BT173" s="80" t="n">
        <v>43032.0</v>
      </c>
      <c r="BU173" s="81" t="n">
        <v>5.1</v>
      </c>
      <c r="BV173" s="82" t="inlineStr">
        <is>
          <t>Actual</t>
        </is>
      </c>
      <c r="BW173" s="83" t="inlineStr">
        <is>
          <t/>
        </is>
      </c>
      <c r="BX173" s="84" t="inlineStr">
        <is>
          <t/>
        </is>
      </c>
      <c r="BY173" s="85" t="inlineStr">
        <is>
          <t>Early Stage VC</t>
        </is>
      </c>
      <c r="BZ173" s="86" t="inlineStr">
        <is>
          <t>Series A</t>
        </is>
      </c>
      <c r="CA173" s="87" t="inlineStr">
        <is>
          <t/>
        </is>
      </c>
      <c r="CB173" s="88" t="inlineStr">
        <is>
          <t>Venture Capital</t>
        </is>
      </c>
      <c r="CC173" s="89" t="inlineStr">
        <is>
          <t/>
        </is>
      </c>
      <c r="CD173" s="90" t="inlineStr">
        <is>
          <t/>
        </is>
      </c>
      <c r="CE173" s="91" t="inlineStr">
        <is>
          <t/>
        </is>
      </c>
      <c r="CF173" s="92" t="inlineStr">
        <is>
          <t>Completed</t>
        </is>
      </c>
      <c r="CG173" s="93" t="inlineStr">
        <is>
          <t>1,70%</t>
        </is>
      </c>
      <c r="CH173" s="94" t="inlineStr">
        <is>
          <t>97</t>
        </is>
      </c>
      <c r="CI173" s="95" t="inlineStr">
        <is>
          <t>4,79%</t>
        </is>
      </c>
      <c r="CJ173" s="96" t="inlineStr">
        <is>
          <t>155,16%</t>
        </is>
      </c>
      <c r="CK173" s="97" t="inlineStr">
        <is>
          <t>-3,09%</t>
        </is>
      </c>
      <c r="CL173" s="98" t="inlineStr">
        <is>
          <t>11</t>
        </is>
      </c>
      <c r="CM173" s="99" t="inlineStr">
        <is>
          <t>6,49%</t>
        </is>
      </c>
      <c r="CN173" s="100" t="inlineStr">
        <is>
          <t>100</t>
        </is>
      </c>
      <c r="CO173" s="101" t="inlineStr">
        <is>
          <t>-6,17%</t>
        </is>
      </c>
      <c r="CP173" s="102" t="inlineStr">
        <is>
          <t>19</t>
        </is>
      </c>
      <c r="CQ173" s="103" t="inlineStr">
        <is>
          <t>0,00%</t>
        </is>
      </c>
      <c r="CR173" s="104" t="inlineStr">
        <is>
          <t>20</t>
        </is>
      </c>
      <c r="CS173" s="105" t="inlineStr">
        <is>
          <t>6,49%</t>
        </is>
      </c>
      <c r="CT173" s="106" t="inlineStr">
        <is>
          <t>100</t>
        </is>
      </c>
      <c r="CU173" s="107" t="inlineStr">
        <is>
          <t/>
        </is>
      </c>
      <c r="CV173" s="108" t="inlineStr">
        <is>
          <t/>
        </is>
      </c>
      <c r="CW173" s="109" t="inlineStr">
        <is>
          <t>1,17x</t>
        </is>
      </c>
      <c r="CX173" s="110" t="inlineStr">
        <is>
          <t>53</t>
        </is>
      </c>
      <c r="CY173" s="111" t="inlineStr">
        <is>
          <t>-0,66x</t>
        </is>
      </c>
      <c r="CZ173" s="112" t="inlineStr">
        <is>
          <t>-36,16%</t>
        </is>
      </c>
      <c r="DA173" s="113" t="inlineStr">
        <is>
          <t>1,88x</t>
        </is>
      </c>
      <c r="DB173" s="114" t="inlineStr">
        <is>
          <t>65</t>
        </is>
      </c>
      <c r="DC173" s="115" t="inlineStr">
        <is>
          <t>0,47x</t>
        </is>
      </c>
      <c r="DD173" s="116" t="inlineStr">
        <is>
          <t>34</t>
        </is>
      </c>
      <c r="DE173" s="117" t="inlineStr">
        <is>
          <t>1,42x</t>
        </is>
      </c>
      <c r="DF173" s="118" t="inlineStr">
        <is>
          <t>59</t>
        </is>
      </c>
      <c r="DG173" s="119" t="inlineStr">
        <is>
          <t>2,33x</t>
        </is>
      </c>
      <c r="DH173" s="120" t="inlineStr">
        <is>
          <t>68</t>
        </is>
      </c>
      <c r="DI173" s="121" t="inlineStr">
        <is>
          <t>0,47x</t>
        </is>
      </c>
      <c r="DJ173" s="122" t="inlineStr">
        <is>
          <t>38</t>
        </is>
      </c>
      <c r="DK173" s="123" t="inlineStr">
        <is>
          <t/>
        </is>
      </c>
      <c r="DL173" s="124" t="inlineStr">
        <is>
          <t/>
        </is>
      </c>
      <c r="DM173" s="125" t="inlineStr">
        <is>
          <t>608</t>
        </is>
      </c>
      <c r="DN173" s="126" t="inlineStr">
        <is>
          <t>-247</t>
        </is>
      </c>
      <c r="DO173" s="127" t="inlineStr">
        <is>
          <t>-28,89%</t>
        </is>
      </c>
      <c r="DP173" s="128" t="inlineStr">
        <is>
          <t>361</t>
        </is>
      </c>
      <c r="DQ173" s="129" t="inlineStr">
        <is>
          <t>32</t>
        </is>
      </c>
      <c r="DR173" s="130" t="inlineStr">
        <is>
          <t>9,73%</t>
        </is>
      </c>
      <c r="DS173" s="131" t="inlineStr">
        <is>
          <t>82</t>
        </is>
      </c>
      <c r="DT173" s="132" t="inlineStr">
        <is>
          <t>2</t>
        </is>
      </c>
      <c r="DU173" s="133" t="inlineStr">
        <is>
          <t>2,50%</t>
        </is>
      </c>
      <c r="DV173" s="134" t="inlineStr">
        <is>
          <t>46</t>
        </is>
      </c>
      <c r="DW173" s="135" t="inlineStr">
        <is>
          <t>3</t>
        </is>
      </c>
      <c r="DX173" s="136" t="inlineStr">
        <is>
          <t>6,98%</t>
        </is>
      </c>
      <c r="DY173" s="137" t="inlineStr">
        <is>
          <t>PitchBook Research</t>
        </is>
      </c>
      <c r="DZ173" s="785">
        <f>HYPERLINK("https://my.pitchbook.com?c=180663-04", "View company online")</f>
      </c>
    </row>
    <row r="174">
      <c r="A174" s="139" t="inlineStr">
        <is>
          <t>145180-54</t>
        </is>
      </c>
      <c r="B174" s="140" t="inlineStr">
        <is>
          <t>Bolt Mobility</t>
        </is>
      </c>
      <c r="C174" s="141" t="inlineStr">
        <is>
          <t/>
        </is>
      </c>
      <c r="D174" s="142" t="inlineStr">
        <is>
          <t>AppScooter</t>
        </is>
      </c>
      <c r="E174" s="143" t="inlineStr">
        <is>
          <t>145180-54</t>
        </is>
      </c>
      <c r="F174" s="144" t="inlineStr">
        <is>
          <t>Manufacturer of smart electric scooters designed to accelerate the transition to electric mobility. The company's smart electric scooters accelerates 150% faster and goes up to 400km with our modular electric drivetrain, it has a 7" touchscreen and handlebar controls and is able to safely run Android apps in its cockpit making personal smart mobility effortless and efficient for the consumers.</t>
        </is>
      </c>
      <c r="G174" s="145" t="inlineStr">
        <is>
          <t>Consumer Products and Services (B2C)</t>
        </is>
      </c>
      <c r="H174" s="146" t="inlineStr">
        <is>
          <t>Transportation</t>
        </is>
      </c>
      <c r="I174" s="147" t="inlineStr">
        <is>
          <t>Automotive</t>
        </is>
      </c>
      <c r="J174" s="148" t="inlineStr">
        <is>
          <t>Automotive*</t>
        </is>
      </c>
      <c r="K174" s="149" t="inlineStr">
        <is>
          <t>CleanTech, LOHAS &amp; Wellness, Manufacturing, Mobile</t>
        </is>
      </c>
      <c r="L174" s="150" t="inlineStr">
        <is>
          <t>Angel-Backed</t>
        </is>
      </c>
      <c r="M174" s="151" t="n">
        <v>5.19</v>
      </c>
      <c r="N174" s="152" t="inlineStr">
        <is>
          <t>Generating Revenue</t>
        </is>
      </c>
      <c r="O174" s="153" t="inlineStr">
        <is>
          <t>Privately Held (backing)</t>
        </is>
      </c>
      <c r="P174" s="154" t="inlineStr">
        <is>
          <t>Pre-venture</t>
        </is>
      </c>
      <c r="Q174" s="155" t="inlineStr">
        <is>
          <t>www.boltmobility.com</t>
        </is>
      </c>
      <c r="R174" s="156" t="n">
        <v>9.0</v>
      </c>
      <c r="S174" s="157" t="inlineStr">
        <is>
          <t/>
        </is>
      </c>
      <c r="T174" s="158" t="inlineStr">
        <is>
          <t/>
        </is>
      </c>
      <c r="U174" s="159" t="n">
        <v>2014.0</v>
      </c>
      <c r="V174" s="160" t="inlineStr">
        <is>
          <t/>
        </is>
      </c>
      <c r="W174" s="161" t="inlineStr">
        <is>
          <t/>
        </is>
      </c>
      <c r="X174" s="162" t="inlineStr">
        <is>
          <t/>
        </is>
      </c>
      <c r="Y174" s="163" t="inlineStr">
        <is>
          <t/>
        </is>
      </c>
      <c r="Z174" s="164" t="inlineStr">
        <is>
          <t/>
        </is>
      </c>
      <c r="AA174" s="165" t="inlineStr">
        <is>
          <t/>
        </is>
      </c>
      <c r="AB174" s="166" t="inlineStr">
        <is>
          <t/>
        </is>
      </c>
      <c r="AC174" s="167" t="inlineStr">
        <is>
          <t/>
        </is>
      </c>
      <c r="AD174" s="168" t="inlineStr">
        <is>
          <t/>
        </is>
      </c>
      <c r="AE174" s="169" t="inlineStr">
        <is>
          <t>123842-89P</t>
        </is>
      </c>
      <c r="AF174" s="170" t="inlineStr">
        <is>
          <t>Bart Jacobsz Rosier</t>
        </is>
      </c>
      <c r="AG174" s="171" t="inlineStr">
        <is>
          <t>Co-Founder &amp; Chief Executive Officer</t>
        </is>
      </c>
      <c r="AH174" s="172" t="inlineStr">
        <is>
          <t>bart@boltmobility.com</t>
        </is>
      </c>
      <c r="AI174" s="173" t="inlineStr">
        <is>
          <t>+31 (0)63 096 5771</t>
        </is>
      </c>
      <c r="AJ174" s="174" t="inlineStr">
        <is>
          <t>Delft, Netherlands</t>
        </is>
      </c>
      <c r="AK174" s="175" t="inlineStr">
        <is>
          <t>Molengraaffsingel 12-14</t>
        </is>
      </c>
      <c r="AL174" s="176" t="inlineStr">
        <is>
          <t/>
        </is>
      </c>
      <c r="AM174" s="177" t="inlineStr">
        <is>
          <t>Delft</t>
        </is>
      </c>
      <c r="AN174" s="178" t="inlineStr">
        <is>
          <t/>
        </is>
      </c>
      <c r="AO174" s="179" t="inlineStr">
        <is>
          <t>2629 JD</t>
        </is>
      </c>
      <c r="AP174" s="180" t="inlineStr">
        <is>
          <t>Netherlands</t>
        </is>
      </c>
      <c r="AQ174" s="181" t="inlineStr">
        <is>
          <t>+31 (0)15 202 3160</t>
        </is>
      </c>
      <c r="AR174" s="182" t="inlineStr">
        <is>
          <t/>
        </is>
      </c>
      <c r="AS174" s="183" t="inlineStr">
        <is>
          <t>info@boltmobility.com</t>
        </is>
      </c>
      <c r="AT174" s="184" t="inlineStr">
        <is>
          <t>Europe</t>
        </is>
      </c>
      <c r="AU174" s="185" t="inlineStr">
        <is>
          <t>Western Europe</t>
        </is>
      </c>
      <c r="AV174" s="186" t="inlineStr">
        <is>
          <t>The company raised EUR 3.23 of angel funding via Seedrs on October 18, 2017. Previously, the company raised EUR 800,000 of angel funding via Leapfunder on December 23, 2016.</t>
        </is>
      </c>
      <c r="AW174" s="187" t="inlineStr">
        <is>
          <t>Edwin Berkhout, Gustaaf van Ditzhuijzen, Lucros Group, Pieter Kooi, YES!Delft</t>
        </is>
      </c>
      <c r="AX174" s="188" t="n">
        <v>5.0</v>
      </c>
      <c r="AY174" s="189" t="inlineStr">
        <is>
          <t/>
        </is>
      </c>
      <c r="AZ174" s="190" t="inlineStr">
        <is>
          <t/>
        </is>
      </c>
      <c r="BA174" s="191" t="inlineStr">
        <is>
          <t/>
        </is>
      </c>
      <c r="BB174" s="192" t="inlineStr">
        <is>
          <t>Lucros Group (lucros-group.eu), YES!Delft (www.yesdelft.com)</t>
        </is>
      </c>
      <c r="BC174" s="193" t="inlineStr">
        <is>
          <t/>
        </is>
      </c>
      <c r="BD174" s="194" t="inlineStr">
        <is>
          <t/>
        </is>
      </c>
      <c r="BE174" s="195" t="inlineStr">
        <is>
          <t>Bird &amp; Bird (Legal Advisor), ING Bank (General Business Banking)</t>
        </is>
      </c>
      <c r="BF174" s="196" t="inlineStr">
        <is>
          <t>Seedrs (Lead Manager or Arranger), Leapfunder (Lead Manager or Arranger)</t>
        </is>
      </c>
      <c r="BG174" s="197" t="n">
        <v>41974.0</v>
      </c>
      <c r="BH174" s="198" t="n">
        <v>0.03</v>
      </c>
      <c r="BI174" s="199" t="inlineStr">
        <is>
          <t>Actual</t>
        </is>
      </c>
      <c r="BJ174" s="200" t="inlineStr">
        <is>
          <t/>
        </is>
      </c>
      <c r="BK174" s="201" t="inlineStr">
        <is>
          <t/>
        </is>
      </c>
      <c r="BL174" s="202" t="inlineStr">
        <is>
          <t>Seed Round</t>
        </is>
      </c>
      <c r="BM174" s="203" t="inlineStr">
        <is>
          <t>Seed</t>
        </is>
      </c>
      <c r="BN174" s="204" t="inlineStr">
        <is>
          <t/>
        </is>
      </c>
      <c r="BO174" s="205" t="inlineStr">
        <is>
          <t>Individual</t>
        </is>
      </c>
      <c r="BP174" s="206" t="inlineStr">
        <is>
          <t/>
        </is>
      </c>
      <c r="BQ174" s="207" t="inlineStr">
        <is>
          <t/>
        </is>
      </c>
      <c r="BR174" s="208" t="inlineStr">
        <is>
          <t/>
        </is>
      </c>
      <c r="BS174" s="209" t="inlineStr">
        <is>
          <t>Completed</t>
        </is>
      </c>
      <c r="BT174" s="210" t="n">
        <v>42979.0</v>
      </c>
      <c r="BU174" s="211" t="n">
        <v>3.23</v>
      </c>
      <c r="BV174" s="212" t="inlineStr">
        <is>
          <t>Actual</t>
        </is>
      </c>
      <c r="BW174" s="213" t="n">
        <v>28.52</v>
      </c>
      <c r="BX174" s="214" t="inlineStr">
        <is>
          <t>Actual</t>
        </is>
      </c>
      <c r="BY174" s="215" t="inlineStr">
        <is>
          <t>Angel (individual)</t>
        </is>
      </c>
      <c r="BZ174" s="216" t="inlineStr">
        <is>
          <t>Angel</t>
        </is>
      </c>
      <c r="CA174" s="217" t="inlineStr">
        <is>
          <t/>
        </is>
      </c>
      <c r="CB174" s="218" t="inlineStr">
        <is>
          <t>Individual</t>
        </is>
      </c>
      <c r="CC174" s="219" t="inlineStr">
        <is>
          <t/>
        </is>
      </c>
      <c r="CD174" s="220" t="inlineStr">
        <is>
          <t/>
        </is>
      </c>
      <c r="CE174" s="221" t="inlineStr">
        <is>
          <t/>
        </is>
      </c>
      <c r="CF174" s="222" t="inlineStr">
        <is>
          <t>Completed</t>
        </is>
      </c>
      <c r="CG174" s="223" t="inlineStr">
        <is>
          <t>-6,57%</t>
        </is>
      </c>
      <c r="CH174" s="224" t="inlineStr">
        <is>
          <t>2</t>
        </is>
      </c>
      <c r="CI174" s="225" t="inlineStr">
        <is>
          <t>-0,07%</t>
        </is>
      </c>
      <c r="CJ174" s="226" t="inlineStr">
        <is>
          <t>-1,03%</t>
        </is>
      </c>
      <c r="CK174" s="227" t="inlineStr">
        <is>
          <t>-13,84%</t>
        </is>
      </c>
      <c r="CL174" s="228" t="inlineStr">
        <is>
          <t>2</t>
        </is>
      </c>
      <c r="CM174" s="229" t="inlineStr">
        <is>
          <t>0,69%</t>
        </is>
      </c>
      <c r="CN174" s="230" t="inlineStr">
        <is>
          <t>93</t>
        </is>
      </c>
      <c r="CO174" s="231" t="inlineStr">
        <is>
          <t>-27,67%</t>
        </is>
      </c>
      <c r="CP174" s="232" t="inlineStr">
        <is>
          <t>2</t>
        </is>
      </c>
      <c r="CQ174" s="233" t="inlineStr">
        <is>
          <t>0,00%</t>
        </is>
      </c>
      <c r="CR174" s="234" t="inlineStr">
        <is>
          <t>20</t>
        </is>
      </c>
      <c r="CS174" s="235" t="inlineStr">
        <is>
          <t>0,30%</t>
        </is>
      </c>
      <c r="CT174" s="236" t="inlineStr">
        <is>
          <t>78</t>
        </is>
      </c>
      <c r="CU174" s="237" t="inlineStr">
        <is>
          <t>1,09%</t>
        </is>
      </c>
      <c r="CV174" s="238" t="inlineStr">
        <is>
          <t>97</t>
        </is>
      </c>
      <c r="CW174" s="239" t="inlineStr">
        <is>
          <t>79,25x</t>
        </is>
      </c>
      <c r="CX174" s="240" t="inlineStr">
        <is>
          <t>98</t>
        </is>
      </c>
      <c r="CY174" s="241" t="inlineStr">
        <is>
          <t>-0,62x</t>
        </is>
      </c>
      <c r="CZ174" s="242" t="inlineStr">
        <is>
          <t>-0,77%</t>
        </is>
      </c>
      <c r="DA174" s="243" t="inlineStr">
        <is>
          <t>1,03x</t>
        </is>
      </c>
      <c r="DB174" s="244" t="inlineStr">
        <is>
          <t>52</t>
        </is>
      </c>
      <c r="DC174" s="245" t="inlineStr">
        <is>
          <t>157,47x</t>
        </is>
      </c>
      <c r="DD174" s="246" t="inlineStr">
        <is>
          <t>98</t>
        </is>
      </c>
      <c r="DE174" s="247" t="inlineStr">
        <is>
          <t>1,29x</t>
        </is>
      </c>
      <c r="DF174" s="248" t="inlineStr">
        <is>
          <t>56</t>
        </is>
      </c>
      <c r="DG174" s="249" t="inlineStr">
        <is>
          <t>0,78x</t>
        </is>
      </c>
      <c r="DH174" s="250" t="inlineStr">
        <is>
          <t>45</t>
        </is>
      </c>
      <c r="DI174" s="251" t="inlineStr">
        <is>
          <t>311,05x</t>
        </is>
      </c>
      <c r="DJ174" s="252" t="inlineStr">
        <is>
          <t>98</t>
        </is>
      </c>
      <c r="DK174" s="253" t="inlineStr">
        <is>
          <t>3,89x</t>
        </is>
      </c>
      <c r="DL174" s="254" t="inlineStr">
        <is>
          <t>75</t>
        </is>
      </c>
      <c r="DM174" s="255" t="inlineStr">
        <is>
          <t>482</t>
        </is>
      </c>
      <c r="DN174" s="256" t="inlineStr">
        <is>
          <t>-22</t>
        </is>
      </c>
      <c r="DO174" s="257" t="inlineStr">
        <is>
          <t>-4,37%</t>
        </is>
      </c>
      <c r="DP174" s="258" t="inlineStr">
        <is>
          <t>246.369</t>
        </is>
      </c>
      <c r="DQ174" s="259" t="inlineStr">
        <is>
          <t>-57</t>
        </is>
      </c>
      <c r="DR174" s="260" t="inlineStr">
        <is>
          <t>-0,02%</t>
        </is>
      </c>
      <c r="DS174" s="261" t="inlineStr">
        <is>
          <t>27</t>
        </is>
      </c>
      <c r="DT174" s="262" t="inlineStr">
        <is>
          <t>0</t>
        </is>
      </c>
      <c r="DU174" s="263" t="inlineStr">
        <is>
          <t>0,00%</t>
        </is>
      </c>
      <c r="DV174" s="264" t="inlineStr">
        <is>
          <t>1.451</t>
        </is>
      </c>
      <c r="DW174" s="265" t="inlineStr">
        <is>
          <t>-2</t>
        </is>
      </c>
      <c r="DX174" s="266" t="inlineStr">
        <is>
          <t>-0,14%</t>
        </is>
      </c>
      <c r="DY174" s="267" t="inlineStr">
        <is>
          <t>PitchBook Research</t>
        </is>
      </c>
      <c r="DZ174" s="786">
        <f>HYPERLINK("https://my.pitchbook.com?c=145180-54", "View company online")</f>
      </c>
    </row>
    <row r="175">
      <c r="A175" s="9" t="inlineStr">
        <is>
          <t>94775-23</t>
        </is>
      </c>
      <c r="B175" s="10" t="inlineStr">
        <is>
          <t>ScanTrust</t>
        </is>
      </c>
      <c r="C175" s="11" t="inlineStr">
        <is>
          <t/>
        </is>
      </c>
      <c r="D175" s="12" t="inlineStr">
        <is>
          <t/>
        </is>
      </c>
      <c r="E175" s="13" t="inlineStr">
        <is>
          <t>94775-23</t>
        </is>
      </c>
      <c r="F175" s="14" t="inlineStr">
        <is>
          <t>Provider of a cloud based product designed to provide product authentication and supply chain traceability. The company's platform enables users to secure their documents and products against counterfeiting, using standard printing equipment, QR codes and mobile devices by providing supply-chain visibility which allows full control of the supply and distribution chain, helping brand owners protect against counterfeit goods, monitor their supply chain and enhance trust.</t>
        </is>
      </c>
      <c r="G175" s="15" t="inlineStr">
        <is>
          <t>Information Technology</t>
        </is>
      </c>
      <c r="H175" s="16" t="inlineStr">
        <is>
          <t>Software</t>
        </is>
      </c>
      <c r="I175" s="17" t="inlineStr">
        <is>
          <t>Application Software</t>
        </is>
      </c>
      <c r="J175" s="18" t="inlineStr">
        <is>
          <t>Application Software*; Network Management Software</t>
        </is>
      </c>
      <c r="K175" s="19" t="inlineStr">
        <is>
          <t>Cybersecurity, SaaS</t>
        </is>
      </c>
      <c r="L175" s="20" t="inlineStr">
        <is>
          <t>Venture Capital-Backed</t>
        </is>
      </c>
      <c r="M175" s="21" t="n">
        <v>5.21</v>
      </c>
      <c r="N175" s="22" t="inlineStr">
        <is>
          <t>Product Development</t>
        </is>
      </c>
      <c r="O175" s="23" t="inlineStr">
        <is>
          <t>Privately Held (backing)</t>
        </is>
      </c>
      <c r="P175" s="24" t="inlineStr">
        <is>
          <t>Venture Capital</t>
        </is>
      </c>
      <c r="Q175" s="25" t="inlineStr">
        <is>
          <t>www.scantrust.com</t>
        </is>
      </c>
      <c r="R175" s="26" t="n">
        <v>25.0</v>
      </c>
      <c r="S175" s="27" t="inlineStr">
        <is>
          <t/>
        </is>
      </c>
      <c r="T175" s="28" t="inlineStr">
        <is>
          <t/>
        </is>
      </c>
      <c r="U175" s="29" t="n">
        <v>2014.0</v>
      </c>
      <c r="V175" s="30" t="inlineStr">
        <is>
          <t/>
        </is>
      </c>
      <c r="W175" s="31" t="inlineStr">
        <is>
          <t/>
        </is>
      </c>
      <c r="X175" s="32" t="inlineStr">
        <is>
          <t/>
        </is>
      </c>
      <c r="Y175" s="33" t="inlineStr">
        <is>
          <t/>
        </is>
      </c>
      <c r="Z175" s="34" t="inlineStr">
        <is>
          <t/>
        </is>
      </c>
      <c r="AA175" s="35" t="inlineStr">
        <is>
          <t/>
        </is>
      </c>
      <c r="AB175" s="36" t="inlineStr">
        <is>
          <t/>
        </is>
      </c>
      <c r="AC175" s="37" t="inlineStr">
        <is>
          <t/>
        </is>
      </c>
      <c r="AD175" s="38" t="inlineStr">
        <is>
          <t/>
        </is>
      </c>
      <c r="AE175" s="39" t="inlineStr">
        <is>
          <t>88172-47P</t>
        </is>
      </c>
      <c r="AF175" s="40" t="inlineStr">
        <is>
          <t>Nathan Anderson</t>
        </is>
      </c>
      <c r="AG175" s="41" t="inlineStr">
        <is>
          <t>Co-Founder, Chief Executive Officer &amp; Chief Revenue Officer</t>
        </is>
      </c>
      <c r="AH175" s="42" t="inlineStr">
        <is>
          <t>nathan.anderson@scantrust.com</t>
        </is>
      </c>
      <c r="AI175" s="43" t="inlineStr">
        <is>
          <t>+41 (0)22 575 3855</t>
        </is>
      </c>
      <c r="AJ175" s="44" t="inlineStr">
        <is>
          <t>Lausanne, Switzerland</t>
        </is>
      </c>
      <c r="AK175" s="45" t="inlineStr">
        <is>
          <t>EPFL, Innovation Park</t>
        </is>
      </c>
      <c r="AL175" s="46" t="inlineStr">
        <is>
          <t>PSE-D 1015</t>
        </is>
      </c>
      <c r="AM175" s="47" t="inlineStr">
        <is>
          <t>Lausanne</t>
        </is>
      </c>
      <c r="AN175" s="48" t="inlineStr">
        <is>
          <t/>
        </is>
      </c>
      <c r="AO175" s="49" t="inlineStr">
        <is>
          <t>1015</t>
        </is>
      </c>
      <c r="AP175" s="50" t="inlineStr">
        <is>
          <t>Switzerland</t>
        </is>
      </c>
      <c r="AQ175" s="51" t="inlineStr">
        <is>
          <t>+41 (0)22 575 3855</t>
        </is>
      </c>
      <c r="AR175" s="52" t="inlineStr">
        <is>
          <t/>
        </is>
      </c>
      <c r="AS175" s="53" t="inlineStr">
        <is>
          <t>contact@scantrust.com</t>
        </is>
      </c>
      <c r="AT175" s="54" t="inlineStr">
        <is>
          <t>Europe</t>
        </is>
      </c>
      <c r="AU175" s="55" t="inlineStr">
        <is>
          <t>Western Europe</t>
        </is>
      </c>
      <c r="AV175" s="56" t="inlineStr">
        <is>
          <t>The company raised $4.2 million of Series A venture funding led by SVC on November 14, 2017. SOSV, Innogy Ventures, Castor Ventures, ID Capital, and Privilège Management also participated. The company intends to use this funding to increase sales and marketing efforts in Europe and Asia.</t>
        </is>
      </c>
      <c r="AW175" s="57" t="inlineStr">
        <is>
          <t>AngelVest Group, Beast Ventures, Castor Ventures, EPFL Innovation Park, EuroUS Ventures, ID Capital Management, Innogy Venture Capital, Privilège Management, SOSV, SVC, Swisscom Ventures, Venture kick, Yushan Ventures</t>
        </is>
      </c>
      <c r="AX175" s="58" t="n">
        <v>13.0</v>
      </c>
      <c r="AY175" s="59" t="inlineStr">
        <is>
          <t/>
        </is>
      </c>
      <c r="AZ175" s="60" t="inlineStr">
        <is>
          <t/>
        </is>
      </c>
      <c r="BA175" s="61" t="inlineStr">
        <is>
          <t/>
        </is>
      </c>
      <c r="BB175" s="62" t="inlineStr">
        <is>
          <t>AngelVest Group (www.angelvestgroup.com), Beast Ventures (www.beast.vc), Castor Ventures (www.castorventures.com), EPFL Innovation Park (www.epfl-innovationpark.ch), EuroUS Ventures (www.eurousventures.com), ID Capital Management (www.idcapital.ca), Innogy Venture Capital (www.innogy-ventures.com), Privilège Management (www.privilege-management.com), SOSV (www.sosv.com), SVC (www.svc-risikokapital.ch), Venture kick (www.venturekick.ch), Yushan Ventures (www.yushanventures.com)</t>
        </is>
      </c>
      <c r="BC175" s="63" t="inlineStr">
        <is>
          <t/>
        </is>
      </c>
      <c r="BD175" s="64" t="inlineStr">
        <is>
          <t/>
        </is>
      </c>
      <c r="BE175" s="65" t="inlineStr">
        <is>
          <t/>
        </is>
      </c>
      <c r="BF175" s="66" t="inlineStr">
        <is>
          <t>Fondation pour l'Innovation Technologique (Debt Financing)</t>
        </is>
      </c>
      <c r="BG175" s="67" t="n">
        <v>41640.0</v>
      </c>
      <c r="BH175" s="68" t="n">
        <v>0.11</v>
      </c>
      <c r="BI175" s="69" t="inlineStr">
        <is>
          <t>Actual</t>
        </is>
      </c>
      <c r="BJ175" s="70" t="inlineStr">
        <is>
          <t/>
        </is>
      </c>
      <c r="BK175" s="71" t="inlineStr">
        <is>
          <t/>
        </is>
      </c>
      <c r="BL175" s="72" t="inlineStr">
        <is>
          <t>Accelerator/Incubator</t>
        </is>
      </c>
      <c r="BM175" s="73" t="inlineStr">
        <is>
          <t/>
        </is>
      </c>
      <c r="BN175" s="74" t="inlineStr">
        <is>
          <t/>
        </is>
      </c>
      <c r="BO175" s="75" t="inlineStr">
        <is>
          <t>Venture Capital</t>
        </is>
      </c>
      <c r="BP175" s="76" t="inlineStr">
        <is>
          <t/>
        </is>
      </c>
      <c r="BQ175" s="77" t="inlineStr">
        <is>
          <t/>
        </is>
      </c>
      <c r="BR175" s="78" t="inlineStr">
        <is>
          <t/>
        </is>
      </c>
      <c r="BS175" s="79" t="inlineStr">
        <is>
          <t>Completed</t>
        </is>
      </c>
      <c r="BT175" s="80" t="n">
        <v>43053.0</v>
      </c>
      <c r="BU175" s="81" t="n">
        <v>3.57</v>
      </c>
      <c r="BV175" s="82" t="inlineStr">
        <is>
          <t>Actual</t>
        </is>
      </c>
      <c r="BW175" s="83" t="inlineStr">
        <is>
          <t/>
        </is>
      </c>
      <c r="BX175" s="84" t="inlineStr">
        <is>
          <t/>
        </is>
      </c>
      <c r="BY175" s="85" t="inlineStr">
        <is>
          <t>Early Stage VC</t>
        </is>
      </c>
      <c r="BZ175" s="86" t="inlineStr">
        <is>
          <t>Series A</t>
        </is>
      </c>
      <c r="CA175" s="87" t="inlineStr">
        <is>
          <t/>
        </is>
      </c>
      <c r="CB175" s="88" t="inlineStr">
        <is>
          <t>Venture Capital</t>
        </is>
      </c>
      <c r="CC175" s="89" t="inlineStr">
        <is>
          <t/>
        </is>
      </c>
      <c r="CD175" s="90" t="inlineStr">
        <is>
          <t/>
        </is>
      </c>
      <c r="CE175" s="91" t="inlineStr">
        <is>
          <t/>
        </is>
      </c>
      <c r="CF175" s="92" t="inlineStr">
        <is>
          <t>Completed</t>
        </is>
      </c>
      <c r="CG175" s="93" t="inlineStr">
        <is>
          <t>0,42%</t>
        </is>
      </c>
      <c r="CH175" s="94" t="inlineStr">
        <is>
          <t>91</t>
        </is>
      </c>
      <c r="CI175" s="95" t="inlineStr">
        <is>
          <t>0,13%</t>
        </is>
      </c>
      <c r="CJ175" s="96" t="inlineStr">
        <is>
          <t>43,25%</t>
        </is>
      </c>
      <c r="CK175" s="97" t="inlineStr">
        <is>
          <t>0,00%</t>
        </is>
      </c>
      <c r="CL175" s="98" t="inlineStr">
        <is>
          <t>28</t>
        </is>
      </c>
      <c r="CM175" s="99" t="inlineStr">
        <is>
          <t>0,74%</t>
        </is>
      </c>
      <c r="CN175" s="100" t="inlineStr">
        <is>
          <t>93</t>
        </is>
      </c>
      <c r="CO175" s="101" t="inlineStr">
        <is>
          <t>0,00%</t>
        </is>
      </c>
      <c r="CP175" s="102" t="inlineStr">
        <is>
          <t>37</t>
        </is>
      </c>
      <c r="CQ175" s="103" t="inlineStr">
        <is>
          <t>0,00%</t>
        </is>
      </c>
      <c r="CR175" s="104" t="inlineStr">
        <is>
          <t>20</t>
        </is>
      </c>
      <c r="CS175" s="105" t="inlineStr">
        <is>
          <t>1,22%</t>
        </is>
      </c>
      <c r="CT175" s="106" t="inlineStr">
        <is>
          <t>96</t>
        </is>
      </c>
      <c r="CU175" s="107" t="inlineStr">
        <is>
          <t>0,27%</t>
        </is>
      </c>
      <c r="CV175" s="108" t="inlineStr">
        <is>
          <t>82</t>
        </is>
      </c>
      <c r="CW175" s="109" t="inlineStr">
        <is>
          <t>0,74x</t>
        </is>
      </c>
      <c r="CX175" s="110" t="inlineStr">
        <is>
          <t>42</t>
        </is>
      </c>
      <c r="CY175" s="111" t="inlineStr">
        <is>
          <t>0,00x</t>
        </is>
      </c>
      <c r="CZ175" s="112" t="inlineStr">
        <is>
          <t>-0,03%</t>
        </is>
      </c>
      <c r="DA175" s="113" t="inlineStr">
        <is>
          <t>1,68x</t>
        </is>
      </c>
      <c r="DB175" s="114" t="inlineStr">
        <is>
          <t>63</t>
        </is>
      </c>
      <c r="DC175" s="115" t="inlineStr">
        <is>
          <t>0,45x</t>
        </is>
      </c>
      <c r="DD175" s="116" t="inlineStr">
        <is>
          <t>34</t>
        </is>
      </c>
      <c r="DE175" s="117" t="inlineStr">
        <is>
          <t>1,00x</t>
        </is>
      </c>
      <c r="DF175" s="118" t="inlineStr">
        <is>
          <t>50</t>
        </is>
      </c>
      <c r="DG175" s="119" t="inlineStr">
        <is>
          <t>2,36x</t>
        </is>
      </c>
      <c r="DH175" s="120" t="inlineStr">
        <is>
          <t>68</t>
        </is>
      </c>
      <c r="DI175" s="121" t="inlineStr">
        <is>
          <t>0,14x</t>
        </is>
      </c>
      <c r="DJ175" s="122" t="inlineStr">
        <is>
          <t>18</t>
        </is>
      </c>
      <c r="DK175" s="123" t="inlineStr">
        <is>
          <t>0,77x</t>
        </is>
      </c>
      <c r="DL175" s="124" t="inlineStr">
        <is>
          <t>46</t>
        </is>
      </c>
      <c r="DM175" s="125" t="inlineStr">
        <is>
          <t>372</t>
        </is>
      </c>
      <c r="DN175" s="126" t="inlineStr">
        <is>
          <t>-5</t>
        </is>
      </c>
      <c r="DO175" s="127" t="inlineStr">
        <is>
          <t>-1,33%</t>
        </is>
      </c>
      <c r="DP175" s="128" t="inlineStr">
        <is>
          <t>110</t>
        </is>
      </c>
      <c r="DQ175" s="129" t="inlineStr">
        <is>
          <t>6</t>
        </is>
      </c>
      <c r="DR175" s="130" t="inlineStr">
        <is>
          <t>5,77%</t>
        </is>
      </c>
      <c r="DS175" s="131" t="inlineStr">
        <is>
          <t>85</t>
        </is>
      </c>
      <c r="DT175" s="132" t="inlineStr">
        <is>
          <t>0</t>
        </is>
      </c>
      <c r="DU175" s="133" t="inlineStr">
        <is>
          <t>0,00%</t>
        </is>
      </c>
      <c r="DV175" s="134" t="inlineStr">
        <is>
          <t>285</t>
        </is>
      </c>
      <c r="DW175" s="135" t="inlineStr">
        <is>
          <t>3</t>
        </is>
      </c>
      <c r="DX175" s="136" t="inlineStr">
        <is>
          <t>1,06%</t>
        </is>
      </c>
      <c r="DY175" s="137" t="inlineStr">
        <is>
          <t>PitchBook Research</t>
        </is>
      </c>
      <c r="DZ175" s="785">
        <f>HYPERLINK("https://my.pitchbook.com?c=94775-23", "View company online")</f>
      </c>
    </row>
    <row r="176">
      <c r="A176" s="139" t="inlineStr">
        <is>
          <t>56938-33</t>
        </is>
      </c>
      <c r="B176" s="140" t="inlineStr">
        <is>
          <t>Eliq</t>
        </is>
      </c>
      <c r="C176" s="141" t="inlineStr">
        <is>
          <t>Exibea</t>
        </is>
      </c>
      <c r="D176" s="142" t="inlineStr">
        <is>
          <t/>
        </is>
      </c>
      <c r="E176" s="143" t="inlineStr">
        <is>
          <t>56938-33</t>
        </is>
      </c>
      <c r="F176" s="144" t="inlineStr">
        <is>
          <t>Developer of energy management tools intended to improve the way energy is used in everyday life. The company's energy management tools monitor and automate energy utilization and are specialized in turning vast amounts of energy data into customer value, enabling users to avoid wastage of household energy and create long-term profitability.</t>
        </is>
      </c>
      <c r="G176" s="145" t="inlineStr">
        <is>
          <t>Information Technology</t>
        </is>
      </c>
      <c r="H176" s="146" t="inlineStr">
        <is>
          <t>Software</t>
        </is>
      </c>
      <c r="I176" s="147" t="inlineStr">
        <is>
          <t>Application Software</t>
        </is>
      </c>
      <c r="J176" s="148" t="inlineStr">
        <is>
          <t>Application Software*; Other Equipment; Automation/Workflow Software</t>
        </is>
      </c>
      <c r="K176" s="149" t="inlineStr">
        <is>
          <t>Mobile</t>
        </is>
      </c>
      <c r="L176" s="150" t="inlineStr">
        <is>
          <t>Venture Capital-Backed</t>
        </is>
      </c>
      <c r="M176" s="151" t="n">
        <v>5.24</v>
      </c>
      <c r="N176" s="152" t="inlineStr">
        <is>
          <t>Generating Revenue</t>
        </is>
      </c>
      <c r="O176" s="153" t="inlineStr">
        <is>
          <t>Privately Held (backing)</t>
        </is>
      </c>
      <c r="P176" s="154" t="inlineStr">
        <is>
          <t>Venture Capital</t>
        </is>
      </c>
      <c r="Q176" s="155" t="inlineStr">
        <is>
          <t>www.eliq.io</t>
        </is>
      </c>
      <c r="R176" s="156" t="n">
        <v>4.0</v>
      </c>
      <c r="S176" s="157" t="inlineStr">
        <is>
          <t/>
        </is>
      </c>
      <c r="T176" s="158" t="inlineStr">
        <is>
          <t/>
        </is>
      </c>
      <c r="U176" s="159" t="n">
        <v>2008.0</v>
      </c>
      <c r="V176" s="160" t="inlineStr">
        <is>
          <t/>
        </is>
      </c>
      <c r="W176" s="161" t="inlineStr">
        <is>
          <t/>
        </is>
      </c>
      <c r="X176" s="162" t="inlineStr">
        <is>
          <t/>
        </is>
      </c>
      <c r="Y176" s="163" t="n">
        <v>0.97705</v>
      </c>
      <c r="Z176" s="164" t="inlineStr">
        <is>
          <t/>
        </is>
      </c>
      <c r="AA176" s="165" t="n">
        <v>-0.17075</v>
      </c>
      <c r="AB176" s="166" t="inlineStr">
        <is>
          <t/>
        </is>
      </c>
      <c r="AC176" s="167" t="n">
        <v>-0.12332</v>
      </c>
      <c r="AD176" s="168" t="inlineStr">
        <is>
          <t>FY 2016</t>
        </is>
      </c>
      <c r="AE176" s="169" t="inlineStr">
        <is>
          <t>95803-21P</t>
        </is>
      </c>
      <c r="AF176" s="170" t="inlineStr">
        <is>
          <t>Joakim Ottander</t>
        </is>
      </c>
      <c r="AG176" s="171" t="inlineStr">
        <is>
          <t>Co-Founder &amp; Head, Business Development</t>
        </is>
      </c>
      <c r="AH176" s="172" t="inlineStr">
        <is>
          <t>ottander@eliq.io</t>
        </is>
      </c>
      <c r="AI176" s="173" t="inlineStr">
        <is>
          <t>+46 (0)07 350 59 011</t>
        </is>
      </c>
      <c r="AJ176" s="174" t="inlineStr">
        <is>
          <t>Gothenburg, Sweden</t>
        </is>
      </c>
      <c r="AK176" s="175" t="inlineStr">
        <is>
          <t>Sockerbruket 9</t>
        </is>
      </c>
      <c r="AL176" s="176" t="inlineStr">
        <is>
          <t/>
        </is>
      </c>
      <c r="AM176" s="177" t="inlineStr">
        <is>
          <t>Gothenburg</t>
        </is>
      </c>
      <c r="AN176" s="178" t="inlineStr">
        <is>
          <t/>
        </is>
      </c>
      <c r="AO176" s="179" t="inlineStr">
        <is>
          <t>414 51</t>
        </is>
      </c>
      <c r="AP176" s="180" t="inlineStr">
        <is>
          <t>Sweden</t>
        </is>
      </c>
      <c r="AQ176" s="181" t="inlineStr">
        <is>
          <t>+46 (0)31 762 07 01</t>
        </is>
      </c>
      <c r="AR176" s="182" t="inlineStr">
        <is>
          <t/>
        </is>
      </c>
      <c r="AS176" s="183" t="inlineStr">
        <is>
          <t>hello@eliq.io</t>
        </is>
      </c>
      <c r="AT176" s="184" t="inlineStr">
        <is>
          <t>Europe</t>
        </is>
      </c>
      <c r="AU176" s="185" t="inlineStr">
        <is>
          <t>Northern Europe</t>
        </is>
      </c>
      <c r="AV176" s="186" t="inlineStr">
        <is>
          <t>The company is planning to raise an undisclosed amount of Series A venture funding as of November 11, 2016. The company will begin a Series A funding round during the course of 2018. The company raised EUR 3 million of venture funding from CBC Investment and a Swedish syndicate of around 70 private angel investors on November 16, 2017. The funding will be used to expand company's presence in the UK market and further accelerate the development of the company's product and artificial intelligence (AI) technology.</t>
        </is>
      </c>
      <c r="AW176" s="187" t="inlineStr">
        <is>
          <t>Almi Invest, Born Global, CBC Investment Group, Norwegian Energy Agency</t>
        </is>
      </c>
      <c r="AX176" s="188" t="n">
        <v>4.0</v>
      </c>
      <c r="AY176" s="189" t="inlineStr">
        <is>
          <t/>
        </is>
      </c>
      <c r="AZ176" s="190" t="inlineStr">
        <is>
          <t>IKEA GreenTech</t>
        </is>
      </c>
      <c r="BA176" s="191" t="inlineStr">
        <is>
          <t/>
        </is>
      </c>
      <c r="BB176" s="192" t="inlineStr">
        <is>
          <t>Born Global (www.bornglobal.se), CBC Investment Group (www.cbcgroup.se), Norwegian Energy Agency (www.enova.no)</t>
        </is>
      </c>
      <c r="BC176" s="193" t="inlineStr">
        <is>
          <t>IKEA GreenTech (www.ikea.greentechab.com)</t>
        </is>
      </c>
      <c r="BD176" s="194" t="inlineStr">
        <is>
          <t/>
        </is>
      </c>
      <c r="BE176" s="195" t="inlineStr">
        <is>
          <t/>
        </is>
      </c>
      <c r="BF176" s="196" t="inlineStr">
        <is>
          <t>Elevera Advisers (Advisor: General)</t>
        </is>
      </c>
      <c r="BG176" s="197" t="n">
        <v>41221.0</v>
      </c>
      <c r="BH176" s="198" t="n">
        <v>1.79</v>
      </c>
      <c r="BI176" s="199" t="inlineStr">
        <is>
          <t>Estimated</t>
        </is>
      </c>
      <c r="BJ176" s="200" t="inlineStr">
        <is>
          <t/>
        </is>
      </c>
      <c r="BK176" s="201" t="inlineStr">
        <is>
          <t/>
        </is>
      </c>
      <c r="BL176" s="202" t="inlineStr">
        <is>
          <t>Seed Round</t>
        </is>
      </c>
      <c r="BM176" s="203" t="inlineStr">
        <is>
          <t>Seed</t>
        </is>
      </c>
      <c r="BN176" s="204" t="inlineStr">
        <is>
          <t/>
        </is>
      </c>
      <c r="BO176" s="205" t="inlineStr">
        <is>
          <t>Venture Capital</t>
        </is>
      </c>
      <c r="BP176" s="206" t="inlineStr">
        <is>
          <t/>
        </is>
      </c>
      <c r="BQ176" s="207" t="inlineStr">
        <is>
          <t/>
        </is>
      </c>
      <c r="BR176" s="208" t="inlineStr">
        <is>
          <t/>
        </is>
      </c>
      <c r="BS176" s="209" t="inlineStr">
        <is>
          <t>Completed</t>
        </is>
      </c>
      <c r="BT176" s="210" t="n">
        <v>43101.0</v>
      </c>
      <c r="BU176" s="211" t="inlineStr">
        <is>
          <t/>
        </is>
      </c>
      <c r="BV176" s="212" t="inlineStr">
        <is>
          <t/>
        </is>
      </c>
      <c r="BW176" s="213" t="inlineStr">
        <is>
          <t/>
        </is>
      </c>
      <c r="BX176" s="214" t="inlineStr">
        <is>
          <t/>
        </is>
      </c>
      <c r="BY176" s="215" t="inlineStr">
        <is>
          <t>Early Stage VC</t>
        </is>
      </c>
      <c r="BZ176" s="216" t="inlineStr">
        <is>
          <t>Series A</t>
        </is>
      </c>
      <c r="CA176" s="217" t="inlineStr">
        <is>
          <t/>
        </is>
      </c>
      <c r="CB176" s="218" t="inlineStr">
        <is>
          <t>Venture Capital</t>
        </is>
      </c>
      <c r="CC176" s="219" t="inlineStr">
        <is>
          <t/>
        </is>
      </c>
      <c r="CD176" s="220" t="inlineStr">
        <is>
          <t/>
        </is>
      </c>
      <c r="CE176" s="221" t="inlineStr">
        <is>
          <t/>
        </is>
      </c>
      <c r="CF176" s="222" t="inlineStr">
        <is>
          <t>Upcoming</t>
        </is>
      </c>
      <c r="CG176" s="223" t="inlineStr">
        <is>
          <t>0,00%</t>
        </is>
      </c>
      <c r="CH176" s="224" t="inlineStr">
        <is>
          <t>33</t>
        </is>
      </c>
      <c r="CI176" s="225" t="inlineStr">
        <is>
          <t>0,00%</t>
        </is>
      </c>
      <c r="CJ176" s="226" t="inlineStr">
        <is>
          <t>0,00%</t>
        </is>
      </c>
      <c r="CK176" s="227" t="inlineStr">
        <is>
          <t>0,00%</t>
        </is>
      </c>
      <c r="CL176" s="228" t="inlineStr">
        <is>
          <t>28</t>
        </is>
      </c>
      <c r="CM176" s="229" t="inlineStr">
        <is>
          <t/>
        </is>
      </c>
      <c r="CN176" s="230" t="inlineStr">
        <is>
          <t/>
        </is>
      </c>
      <c r="CO176" s="231" t="inlineStr">
        <is>
          <t>0,00%</t>
        </is>
      </c>
      <c r="CP176" s="232" t="inlineStr">
        <is>
          <t>37</t>
        </is>
      </c>
      <c r="CQ176" s="233" t="inlineStr">
        <is>
          <t>0,00%</t>
        </is>
      </c>
      <c r="CR176" s="234" t="inlineStr">
        <is>
          <t>20</t>
        </is>
      </c>
      <c r="CS176" s="235" t="inlineStr">
        <is>
          <t/>
        </is>
      </c>
      <c r="CT176" s="236" t="inlineStr">
        <is>
          <t/>
        </is>
      </c>
      <c r="CU176" s="237" t="inlineStr">
        <is>
          <t/>
        </is>
      </c>
      <c r="CV176" s="238" t="inlineStr">
        <is>
          <t/>
        </is>
      </c>
      <c r="CW176" s="239" t="inlineStr">
        <is>
          <t>0,73x</t>
        </is>
      </c>
      <c r="CX176" s="240" t="inlineStr">
        <is>
          <t>42</t>
        </is>
      </c>
      <c r="CY176" s="241" t="inlineStr">
        <is>
          <t>0,00x</t>
        </is>
      </c>
      <c r="CZ176" s="242" t="inlineStr">
        <is>
          <t>0,00%</t>
        </is>
      </c>
      <c r="DA176" s="243" t="inlineStr">
        <is>
          <t>0,73x</t>
        </is>
      </c>
      <c r="DB176" s="244" t="inlineStr">
        <is>
          <t>44</t>
        </is>
      </c>
      <c r="DC176" s="245" t="inlineStr">
        <is>
          <t/>
        </is>
      </c>
      <c r="DD176" s="246" t="inlineStr">
        <is>
          <t/>
        </is>
      </c>
      <c r="DE176" s="247" t="inlineStr">
        <is>
          <t>1,37x</t>
        </is>
      </c>
      <c r="DF176" s="248" t="inlineStr">
        <is>
          <t>58</t>
        </is>
      </c>
      <c r="DG176" s="249" t="inlineStr">
        <is>
          <t>0,08x</t>
        </is>
      </c>
      <c r="DH176" s="250" t="inlineStr">
        <is>
          <t>8</t>
        </is>
      </c>
      <c r="DI176" s="251" t="inlineStr">
        <is>
          <t/>
        </is>
      </c>
      <c r="DJ176" s="252" t="inlineStr">
        <is>
          <t/>
        </is>
      </c>
      <c r="DK176" s="253" t="inlineStr">
        <is>
          <t/>
        </is>
      </c>
      <c r="DL176" s="254" t="inlineStr">
        <is>
          <t/>
        </is>
      </c>
      <c r="DM176" s="255" t="inlineStr">
        <is>
          <t>530</t>
        </is>
      </c>
      <c r="DN176" s="256" t="inlineStr">
        <is>
          <t>-62</t>
        </is>
      </c>
      <c r="DO176" s="257" t="inlineStr">
        <is>
          <t>-10,47%</t>
        </is>
      </c>
      <c r="DP176" s="258" t="inlineStr">
        <is>
          <t/>
        </is>
      </c>
      <c r="DQ176" s="259" t="inlineStr">
        <is>
          <t/>
        </is>
      </c>
      <c r="DR176" s="260" t="inlineStr">
        <is>
          <t/>
        </is>
      </c>
      <c r="DS176" s="261" t="inlineStr">
        <is>
          <t>3</t>
        </is>
      </c>
      <c r="DT176" s="262" t="inlineStr">
        <is>
          <t>0</t>
        </is>
      </c>
      <c r="DU176" s="263" t="inlineStr">
        <is>
          <t>0,00%</t>
        </is>
      </c>
      <c r="DV176" s="264" t="inlineStr">
        <is>
          <t>106</t>
        </is>
      </c>
      <c r="DW176" s="265" t="inlineStr">
        <is>
          <t>0</t>
        </is>
      </c>
      <c r="DX176" s="266" t="inlineStr">
        <is>
          <t>0,00%</t>
        </is>
      </c>
      <c r="DY176" s="267" t="inlineStr">
        <is>
          <t>PitchBook Research</t>
        </is>
      </c>
      <c r="DZ176" s="786">
        <f>HYPERLINK("https://my.pitchbook.com?c=56938-33", "View company online")</f>
      </c>
    </row>
    <row r="177">
      <c r="A177" s="9" t="inlineStr">
        <is>
          <t>128465-20</t>
        </is>
      </c>
      <c r="B177" s="10" t="inlineStr">
        <is>
          <t>Menu Group (Food Delivery)</t>
        </is>
      </c>
      <c r="C177" s="11" t="inlineStr">
        <is>
          <t/>
        </is>
      </c>
      <c r="D177" s="12" t="inlineStr">
        <is>
          <t/>
        </is>
      </c>
      <c r="E177" s="13" t="inlineStr">
        <is>
          <t>128465-20</t>
        </is>
      </c>
      <c r="F177" s="14" t="inlineStr">
        <is>
          <t>Developer of an online platform designed to order food and also get it delivered very fast. The company's online platform helps in ordering food from restaurants and cafes, enabling users to enjoy all sorts of other varieties of dishes at any time of the day.</t>
        </is>
      </c>
      <c r="G177" s="15" t="inlineStr">
        <is>
          <t>Consumer Products and Services (B2C)</t>
        </is>
      </c>
      <c r="H177" s="16" t="inlineStr">
        <is>
          <t>Consumer Non-Durables</t>
        </is>
      </c>
      <c r="I177" s="17" t="inlineStr">
        <is>
          <t>Food Products</t>
        </is>
      </c>
      <c r="J177" s="18" t="inlineStr">
        <is>
          <t>Food Products*; Information Services (B2C); Internet Retail; Social/Platform Software</t>
        </is>
      </c>
      <c r="K177" s="19" t="inlineStr">
        <is>
          <t>E-Commerce</t>
        </is>
      </c>
      <c r="L177" s="20" t="inlineStr">
        <is>
          <t>Venture Capital-Backed</t>
        </is>
      </c>
      <c r="M177" s="21" t="n">
        <v>5.34</v>
      </c>
      <c r="N177" s="22" t="inlineStr">
        <is>
          <t>Generating Revenue</t>
        </is>
      </c>
      <c r="O177" s="23" t="inlineStr">
        <is>
          <t>Privately Held (backing)</t>
        </is>
      </c>
      <c r="P177" s="24" t="inlineStr">
        <is>
          <t>Venture Capital</t>
        </is>
      </c>
      <c r="Q177" s="25" t="inlineStr">
        <is>
          <t>www.menugroup.co.uk</t>
        </is>
      </c>
      <c r="R177" s="26" t="n">
        <v>51.0</v>
      </c>
      <c r="S177" s="27" t="inlineStr">
        <is>
          <t/>
        </is>
      </c>
      <c r="T177" s="28" t="inlineStr">
        <is>
          <t/>
        </is>
      </c>
      <c r="U177" s="29" t="n">
        <v>2012.0</v>
      </c>
      <c r="V177" s="30" t="inlineStr">
        <is>
          <t/>
        </is>
      </c>
      <c r="W177" s="31" t="inlineStr">
        <is>
          <t/>
        </is>
      </c>
      <c r="X177" s="32" t="inlineStr">
        <is>
          <t/>
        </is>
      </c>
      <c r="Y177" s="33" t="n">
        <v>2.55135</v>
      </c>
      <c r="Z177" s="34" t="inlineStr">
        <is>
          <t/>
        </is>
      </c>
      <c r="AA177" s="35" t="inlineStr">
        <is>
          <t/>
        </is>
      </c>
      <c r="AB177" s="36" t="inlineStr">
        <is>
          <t/>
        </is>
      </c>
      <c r="AC177" s="37" t="inlineStr">
        <is>
          <t/>
        </is>
      </c>
      <c r="AD177" s="38" t="inlineStr">
        <is>
          <t>FY 2017</t>
        </is>
      </c>
      <c r="AE177" s="39" t="inlineStr">
        <is>
          <t>119516-68P</t>
        </is>
      </c>
      <c r="AF177" s="40" t="inlineStr">
        <is>
          <t>Stepan Aslanyan</t>
        </is>
      </c>
      <c r="AG177" s="41" t="inlineStr">
        <is>
          <t>Co-Founder, CMO and Managing Partner</t>
        </is>
      </c>
      <c r="AH177" s="42" t="inlineStr">
        <is>
          <t>stepan@menugroup.co.uk</t>
        </is>
      </c>
      <c r="AI177" s="43" t="inlineStr">
        <is>
          <t/>
        </is>
      </c>
      <c r="AJ177" s="44" t="inlineStr">
        <is>
          <t>London, United Kingdom</t>
        </is>
      </c>
      <c r="AK177" s="45" t="inlineStr">
        <is>
          <t>31-33 High Holborn</t>
        </is>
      </c>
      <c r="AL177" s="46" t="inlineStr">
        <is>
          <t/>
        </is>
      </c>
      <c r="AM177" s="47" t="inlineStr">
        <is>
          <t>London</t>
        </is>
      </c>
      <c r="AN177" s="48" t="inlineStr">
        <is>
          <t>England</t>
        </is>
      </c>
      <c r="AO177" s="49" t="inlineStr">
        <is>
          <t>WC1V 6AX</t>
        </is>
      </c>
      <c r="AP177" s="50" t="inlineStr">
        <is>
          <t>United Kingdom</t>
        </is>
      </c>
      <c r="AQ177" s="51" t="inlineStr">
        <is>
          <t/>
        </is>
      </c>
      <c r="AR177" s="52" t="inlineStr">
        <is>
          <t/>
        </is>
      </c>
      <c r="AS177" s="53" t="inlineStr">
        <is>
          <t/>
        </is>
      </c>
      <c r="AT177" s="54" t="inlineStr">
        <is>
          <t>Europe</t>
        </is>
      </c>
      <c r="AU177" s="55" t="inlineStr">
        <is>
          <t>Western Europe</t>
        </is>
      </c>
      <c r="AV177" s="56" t="inlineStr">
        <is>
          <t>The company raised $3 million of venture funding from Perea Capital, Hayastan 1 and SOLventures on October 19, 2017. The new injection of cash will be used to enhance the development of IT infrastructure, improve the customer interface and experience, increase marketing activity in all markets and expand operations into new markets.</t>
        </is>
      </c>
      <c r="AW177" s="57" t="inlineStr">
        <is>
          <t>Granatus Ventures, Hayastan 1, Perea Capital, SOLventures</t>
        </is>
      </c>
      <c r="AX177" s="58" t="n">
        <v>4.0</v>
      </c>
      <c r="AY177" s="59" t="inlineStr">
        <is>
          <t/>
        </is>
      </c>
      <c r="AZ177" s="60" t="inlineStr">
        <is>
          <t/>
        </is>
      </c>
      <c r="BA177" s="61" t="inlineStr">
        <is>
          <t/>
        </is>
      </c>
      <c r="BB177" s="62" t="inlineStr">
        <is>
          <t>Granatus Ventures (granatusventures.com), Perea Capital (www.pereacapital.com), SOLventures (www.solventures.ru)</t>
        </is>
      </c>
      <c r="BC177" s="63" t="inlineStr">
        <is>
          <t/>
        </is>
      </c>
      <c r="BD177" s="64" t="inlineStr">
        <is>
          <t/>
        </is>
      </c>
      <c r="BE177" s="65" t="inlineStr">
        <is>
          <t/>
        </is>
      </c>
      <c r="BF177" s="66" t="inlineStr">
        <is>
          <t/>
        </is>
      </c>
      <c r="BG177" s="67" t="n">
        <v>42318.0</v>
      </c>
      <c r="BH177" s="68" t="n">
        <v>2.79</v>
      </c>
      <c r="BI177" s="69" t="inlineStr">
        <is>
          <t>Actual</t>
        </is>
      </c>
      <c r="BJ177" s="70" t="inlineStr">
        <is>
          <t/>
        </is>
      </c>
      <c r="BK177" s="71" t="inlineStr">
        <is>
          <t/>
        </is>
      </c>
      <c r="BL177" s="72" t="inlineStr">
        <is>
          <t>Early Stage VC</t>
        </is>
      </c>
      <c r="BM177" s="73" t="inlineStr">
        <is>
          <t/>
        </is>
      </c>
      <c r="BN177" s="74" t="inlineStr">
        <is>
          <t/>
        </is>
      </c>
      <c r="BO177" s="75" t="inlineStr">
        <is>
          <t>Venture Capital</t>
        </is>
      </c>
      <c r="BP177" s="76" t="inlineStr">
        <is>
          <t/>
        </is>
      </c>
      <c r="BQ177" s="77" t="inlineStr">
        <is>
          <t/>
        </is>
      </c>
      <c r="BR177" s="78" t="inlineStr">
        <is>
          <t/>
        </is>
      </c>
      <c r="BS177" s="79" t="inlineStr">
        <is>
          <t>Completed</t>
        </is>
      </c>
      <c r="BT177" s="80" t="n">
        <v>43027.0</v>
      </c>
      <c r="BU177" s="81" t="n">
        <v>2.55</v>
      </c>
      <c r="BV177" s="82" t="inlineStr">
        <is>
          <t>Actual</t>
        </is>
      </c>
      <c r="BW177" s="83" t="inlineStr">
        <is>
          <t/>
        </is>
      </c>
      <c r="BX177" s="84" t="inlineStr">
        <is>
          <t/>
        </is>
      </c>
      <c r="BY177" s="85" t="inlineStr">
        <is>
          <t>Early Stage VC</t>
        </is>
      </c>
      <c r="BZ177" s="86" t="inlineStr">
        <is>
          <t/>
        </is>
      </c>
      <c r="CA177" s="87" t="inlineStr">
        <is>
          <t/>
        </is>
      </c>
      <c r="CB177" s="88" t="inlineStr">
        <is>
          <t>Venture Capital</t>
        </is>
      </c>
      <c r="CC177" s="89" t="inlineStr">
        <is>
          <t/>
        </is>
      </c>
      <c r="CD177" s="90" t="inlineStr">
        <is>
          <t/>
        </is>
      </c>
      <c r="CE177" s="91" t="inlineStr">
        <is>
          <t/>
        </is>
      </c>
      <c r="CF177" s="92" t="inlineStr">
        <is>
          <t>Completed</t>
        </is>
      </c>
      <c r="CG177" s="93" t="inlineStr">
        <is>
          <t>0,00%</t>
        </is>
      </c>
      <c r="CH177" s="94" t="inlineStr">
        <is>
          <t>33</t>
        </is>
      </c>
      <c r="CI177" s="95" t="inlineStr">
        <is>
          <t>0,00%</t>
        </is>
      </c>
      <c r="CJ177" s="96" t="inlineStr">
        <is>
          <t>0,00%</t>
        </is>
      </c>
      <c r="CK177" s="97" t="inlineStr">
        <is>
          <t>0,00%</t>
        </is>
      </c>
      <c r="CL177" s="98" t="inlineStr">
        <is>
          <t>28</t>
        </is>
      </c>
      <c r="CM177" s="99" t="inlineStr">
        <is>
          <t/>
        </is>
      </c>
      <c r="CN177" s="100" t="inlineStr">
        <is>
          <t/>
        </is>
      </c>
      <c r="CO177" s="101" t="inlineStr">
        <is>
          <t>0,00%</t>
        </is>
      </c>
      <c r="CP177" s="102" t="inlineStr">
        <is>
          <t>37</t>
        </is>
      </c>
      <c r="CQ177" s="103" t="inlineStr">
        <is>
          <t/>
        </is>
      </c>
      <c r="CR177" s="104" t="inlineStr">
        <is>
          <t/>
        </is>
      </c>
      <c r="CS177" s="105" t="inlineStr">
        <is>
          <t/>
        </is>
      </c>
      <c r="CT177" s="106" t="inlineStr">
        <is>
          <t/>
        </is>
      </c>
      <c r="CU177" s="107" t="inlineStr">
        <is>
          <t/>
        </is>
      </c>
      <c r="CV177" s="108" t="inlineStr">
        <is>
          <t/>
        </is>
      </c>
      <c r="CW177" s="109" t="inlineStr">
        <is>
          <t>0,17x</t>
        </is>
      </c>
      <c r="CX177" s="110" t="inlineStr">
        <is>
          <t>14</t>
        </is>
      </c>
      <c r="CY177" s="111" t="inlineStr">
        <is>
          <t>0,00x</t>
        </is>
      </c>
      <c r="CZ177" s="112" t="inlineStr">
        <is>
          <t>0,00%</t>
        </is>
      </c>
      <c r="DA177" s="113" t="inlineStr">
        <is>
          <t>0,17x</t>
        </is>
      </c>
      <c r="DB177" s="114" t="inlineStr">
        <is>
          <t>15</t>
        </is>
      </c>
      <c r="DC177" s="115" t="inlineStr">
        <is>
          <t/>
        </is>
      </c>
      <c r="DD177" s="116" t="inlineStr">
        <is>
          <t/>
        </is>
      </c>
      <c r="DE177" s="117" t="inlineStr">
        <is>
          <t>0,17x</t>
        </is>
      </c>
      <c r="DF177" s="118" t="inlineStr">
        <is>
          <t>9</t>
        </is>
      </c>
      <c r="DG177" s="119" t="inlineStr">
        <is>
          <t/>
        </is>
      </c>
      <c r="DH177" s="120" t="inlineStr">
        <is>
          <t/>
        </is>
      </c>
      <c r="DI177" s="121" t="inlineStr">
        <is>
          <t/>
        </is>
      </c>
      <c r="DJ177" s="122" t="inlineStr">
        <is>
          <t/>
        </is>
      </c>
      <c r="DK177" s="123" t="inlineStr">
        <is>
          <t/>
        </is>
      </c>
      <c r="DL177" s="124" t="inlineStr">
        <is>
          <t/>
        </is>
      </c>
      <c r="DM177" s="125" t="inlineStr">
        <is>
          <t>66</t>
        </is>
      </c>
      <c r="DN177" s="126" t="inlineStr">
        <is>
          <t>-14</t>
        </is>
      </c>
      <c r="DO177" s="127" t="inlineStr">
        <is>
          <t>-17,50%</t>
        </is>
      </c>
      <c r="DP177" s="128" t="inlineStr">
        <is>
          <t/>
        </is>
      </c>
      <c r="DQ177" s="129" t="inlineStr">
        <is>
          <t/>
        </is>
      </c>
      <c r="DR177" s="130" t="inlineStr">
        <is>
          <t/>
        </is>
      </c>
      <c r="DS177" s="131" t="inlineStr">
        <is>
          <t/>
        </is>
      </c>
      <c r="DT177" s="132" t="inlineStr">
        <is>
          <t/>
        </is>
      </c>
      <c r="DU177" s="133" t="inlineStr">
        <is>
          <t/>
        </is>
      </c>
      <c r="DV177" s="134" t="inlineStr">
        <is>
          <t/>
        </is>
      </c>
      <c r="DW177" s="135" t="inlineStr">
        <is>
          <t/>
        </is>
      </c>
      <c r="DX177" s="136" t="inlineStr">
        <is>
          <t/>
        </is>
      </c>
      <c r="DY177" s="137" t="inlineStr">
        <is>
          <t>PitchBook Research</t>
        </is>
      </c>
      <c r="DZ177" s="785">
        <f>HYPERLINK("https://my.pitchbook.com?c=128465-20", "View company online")</f>
      </c>
    </row>
    <row r="178">
      <c r="A178" s="139" t="inlineStr">
        <is>
          <t>115287-76</t>
        </is>
      </c>
      <c r="B178" s="140" t="inlineStr">
        <is>
          <t>Early Birds (Predictive Marketing)</t>
        </is>
      </c>
      <c r="C178" s="141" t="inlineStr">
        <is>
          <t/>
        </is>
      </c>
      <c r="D178" s="142" t="inlineStr">
        <is>
          <t/>
        </is>
      </c>
      <c r="E178" s="143" t="inlineStr">
        <is>
          <t>115287-76</t>
        </is>
      </c>
      <c r="F178" s="144" t="inlineStr">
        <is>
          <t>Developer of a SaaS based predictive marketing platform created to optimize the customer experience in order to recommend the right offer at the right time. The company's predictive marketing platform collects and analyzes customer behavior on internet sites to customize the browsing experience for the user with automatic recommendations, enabling e-commerce sites to personalize their customer experience by analyzing in real time the behavior of the visitors on all their digital devices.</t>
        </is>
      </c>
      <c r="G178" s="145" t="inlineStr">
        <is>
          <t>Information Technology</t>
        </is>
      </c>
      <c r="H178" s="146" t="inlineStr">
        <is>
          <t>Software</t>
        </is>
      </c>
      <c r="I178" s="147" t="inlineStr">
        <is>
          <t>Business/Productivity Software</t>
        </is>
      </c>
      <c r="J178" s="148" t="inlineStr">
        <is>
          <t>Business/Productivity Software*</t>
        </is>
      </c>
      <c r="K178" s="149" t="inlineStr">
        <is>
          <t>Big Data, Marketing Tech, SaaS</t>
        </is>
      </c>
      <c r="L178" s="150" t="inlineStr">
        <is>
          <t>Venture Capital-Backed</t>
        </is>
      </c>
      <c r="M178" s="151" t="n">
        <v>5.45</v>
      </c>
      <c r="N178" s="152" t="inlineStr">
        <is>
          <t>Generating Revenue</t>
        </is>
      </c>
      <c r="O178" s="153" t="inlineStr">
        <is>
          <t>Privately Held (backing)</t>
        </is>
      </c>
      <c r="P178" s="154" t="inlineStr">
        <is>
          <t>Venture Capital</t>
        </is>
      </c>
      <c r="Q178" s="155" t="inlineStr">
        <is>
          <t>www.early-birds.fr</t>
        </is>
      </c>
      <c r="R178" s="156" t="inlineStr">
        <is>
          <t/>
        </is>
      </c>
      <c r="S178" s="157" t="inlineStr">
        <is>
          <t/>
        </is>
      </c>
      <c r="T178" s="158" t="inlineStr">
        <is>
          <t/>
        </is>
      </c>
      <c r="U178" s="159" t="n">
        <v>2012.0</v>
      </c>
      <c r="V178" s="160" t="inlineStr">
        <is>
          <t/>
        </is>
      </c>
      <c r="W178" s="161" t="inlineStr">
        <is>
          <t/>
        </is>
      </c>
      <c r="X178" s="162" t="inlineStr">
        <is>
          <t/>
        </is>
      </c>
      <c r="Y178" s="163" t="n">
        <v>0.16024</v>
      </c>
      <c r="Z178" s="164" t="inlineStr">
        <is>
          <t/>
        </is>
      </c>
      <c r="AA178" s="165" t="n">
        <v>0.05341</v>
      </c>
      <c r="AB178" s="166" t="inlineStr">
        <is>
          <t/>
        </is>
      </c>
      <c r="AC178" s="167" t="n">
        <v>0.06867</v>
      </c>
      <c r="AD178" s="168" t="inlineStr">
        <is>
          <t>FY 2012</t>
        </is>
      </c>
      <c r="AE178" s="169" t="inlineStr">
        <is>
          <t>160984-99P</t>
        </is>
      </c>
      <c r="AF178" s="170" t="inlineStr">
        <is>
          <t>Laetitia Comès-Bancaud</t>
        </is>
      </c>
      <c r="AG178" s="171" t="inlineStr">
        <is>
          <t>Co-Founder</t>
        </is>
      </c>
      <c r="AH178" s="172" t="inlineStr">
        <is>
          <t/>
        </is>
      </c>
      <c r="AI178" s="173" t="inlineStr">
        <is>
          <t>+33 (0)1 85 09 03 77</t>
        </is>
      </c>
      <c r="AJ178" s="174" t="inlineStr">
        <is>
          <t>Paris, France</t>
        </is>
      </c>
      <c r="AK178" s="175" t="inlineStr">
        <is>
          <t>55 rue La Boétie</t>
        </is>
      </c>
      <c r="AL178" s="176" t="inlineStr">
        <is>
          <t/>
        </is>
      </c>
      <c r="AM178" s="177" t="inlineStr">
        <is>
          <t>Paris</t>
        </is>
      </c>
      <c r="AN178" s="178" t="inlineStr">
        <is>
          <t/>
        </is>
      </c>
      <c r="AO178" s="179" t="inlineStr">
        <is>
          <t>75008</t>
        </is>
      </c>
      <c r="AP178" s="180" t="inlineStr">
        <is>
          <t>France</t>
        </is>
      </c>
      <c r="AQ178" s="181" t="inlineStr">
        <is>
          <t>+33 (0)1 85 09 03 77</t>
        </is>
      </c>
      <c r="AR178" s="182" t="inlineStr">
        <is>
          <t/>
        </is>
      </c>
      <c r="AS178" s="183" t="inlineStr">
        <is>
          <t>contact@early-birds.fr</t>
        </is>
      </c>
      <c r="AT178" s="184" t="inlineStr">
        <is>
          <t>Europe</t>
        </is>
      </c>
      <c r="AU178" s="185" t="inlineStr">
        <is>
          <t>Western Europe</t>
        </is>
      </c>
      <c r="AV178" s="186" t="inlineStr">
        <is>
          <t>The company raised EUR 5 million of venture funding in a deal led by Arts et Biens on September 20, 2017. The funds will be used to invest in growing the company's R&amp;D activity and expanding further in France and then beyond, first in the UK and then the rest of Europe.</t>
        </is>
      </c>
      <c r="AW178" s="187" t="inlineStr">
        <is>
          <t>Angelsquare, Arts et Biens, Europe Business Angels, Fashion Capital Partners, Femmes Business Angels, Lafayette Plug And Play</t>
        </is>
      </c>
      <c r="AX178" s="188" t="n">
        <v>6.0</v>
      </c>
      <c r="AY178" s="189" t="inlineStr">
        <is>
          <t/>
        </is>
      </c>
      <c r="AZ178" s="190" t="inlineStr">
        <is>
          <t/>
        </is>
      </c>
      <c r="BA178" s="191" t="inlineStr">
        <is>
          <t/>
        </is>
      </c>
      <c r="BB178" s="192" t="inlineStr">
        <is>
          <t>Angelsquare (www.angelsquare.co), Arts et Biens (www.artsetbiens.com), Fashion Capital Partners (www.fashioncapitalpartners.com), Femmes Business Angels (www.femmesbusinessangels.org), Lafayette Plug And Play (www.lafayetteplugandplay.com)</t>
        </is>
      </c>
      <c r="BC178" s="193" t="inlineStr">
        <is>
          <t/>
        </is>
      </c>
      <c r="BD178" s="194" t="inlineStr">
        <is>
          <t/>
        </is>
      </c>
      <c r="BE178" s="195" t="inlineStr">
        <is>
          <t/>
        </is>
      </c>
      <c r="BF178" s="196" t="inlineStr">
        <is>
          <t/>
        </is>
      </c>
      <c r="BG178" s="197" t="n">
        <v>42125.0</v>
      </c>
      <c r="BH178" s="198" t="n">
        <v>0.45</v>
      </c>
      <c r="BI178" s="199" t="inlineStr">
        <is>
          <t>Actual</t>
        </is>
      </c>
      <c r="BJ178" s="200" t="inlineStr">
        <is>
          <t/>
        </is>
      </c>
      <c r="BK178" s="201" t="inlineStr">
        <is>
          <t/>
        </is>
      </c>
      <c r="BL178" s="202" t="inlineStr">
        <is>
          <t>Seed Round</t>
        </is>
      </c>
      <c r="BM178" s="203" t="inlineStr">
        <is>
          <t>Seed</t>
        </is>
      </c>
      <c r="BN178" s="204" t="inlineStr">
        <is>
          <t/>
        </is>
      </c>
      <c r="BO178" s="205" t="inlineStr">
        <is>
          <t>Venture Capital</t>
        </is>
      </c>
      <c r="BP178" s="206" t="inlineStr">
        <is>
          <t/>
        </is>
      </c>
      <c r="BQ178" s="207" t="inlineStr">
        <is>
          <t/>
        </is>
      </c>
      <c r="BR178" s="208" t="inlineStr">
        <is>
          <t/>
        </is>
      </c>
      <c r="BS178" s="209" t="inlineStr">
        <is>
          <t>Completed</t>
        </is>
      </c>
      <c r="BT178" s="210" t="n">
        <v>42998.0</v>
      </c>
      <c r="BU178" s="211" t="n">
        <v>5.0</v>
      </c>
      <c r="BV178" s="212" t="inlineStr">
        <is>
          <t>Actual</t>
        </is>
      </c>
      <c r="BW178" s="213" t="inlineStr">
        <is>
          <t/>
        </is>
      </c>
      <c r="BX178" s="214" t="inlineStr">
        <is>
          <t/>
        </is>
      </c>
      <c r="BY178" s="215" t="inlineStr">
        <is>
          <t>Early Stage VC</t>
        </is>
      </c>
      <c r="BZ178" s="216" t="inlineStr">
        <is>
          <t/>
        </is>
      </c>
      <c r="CA178" s="217" t="inlineStr">
        <is>
          <t/>
        </is>
      </c>
      <c r="CB178" s="218" t="inlineStr">
        <is>
          <t>Venture Capital</t>
        </is>
      </c>
      <c r="CC178" s="219" t="inlineStr">
        <is>
          <t/>
        </is>
      </c>
      <c r="CD178" s="220" t="inlineStr">
        <is>
          <t/>
        </is>
      </c>
      <c r="CE178" s="221" t="inlineStr">
        <is>
          <t/>
        </is>
      </c>
      <c r="CF178" s="222" t="inlineStr">
        <is>
          <t>Completed</t>
        </is>
      </c>
      <c r="CG178" s="223" t="inlineStr">
        <is>
          <t>-4,77%</t>
        </is>
      </c>
      <c r="CH178" s="224" t="inlineStr">
        <is>
          <t>4</t>
        </is>
      </c>
      <c r="CI178" s="225" t="inlineStr">
        <is>
          <t>-0,19%</t>
        </is>
      </c>
      <c r="CJ178" s="226" t="inlineStr">
        <is>
          <t>-4,24%</t>
        </is>
      </c>
      <c r="CK178" s="227" t="inlineStr">
        <is>
          <t>-9,89%</t>
        </is>
      </c>
      <c r="CL178" s="228" t="inlineStr">
        <is>
          <t>3</t>
        </is>
      </c>
      <c r="CM178" s="229" t="inlineStr">
        <is>
          <t>0,35%</t>
        </is>
      </c>
      <c r="CN178" s="230" t="inlineStr">
        <is>
          <t>83</t>
        </is>
      </c>
      <c r="CO178" s="231" t="inlineStr">
        <is>
          <t>-19,78%</t>
        </is>
      </c>
      <c r="CP178" s="232" t="inlineStr">
        <is>
          <t>5</t>
        </is>
      </c>
      <c r="CQ178" s="233" t="inlineStr">
        <is>
          <t>0,00%</t>
        </is>
      </c>
      <c r="CR178" s="234" t="inlineStr">
        <is>
          <t>20</t>
        </is>
      </c>
      <c r="CS178" s="235" t="inlineStr">
        <is>
          <t>0,36%</t>
        </is>
      </c>
      <c r="CT178" s="236" t="inlineStr">
        <is>
          <t>81</t>
        </is>
      </c>
      <c r="CU178" s="237" t="inlineStr">
        <is>
          <t>0,34%</t>
        </is>
      </c>
      <c r="CV178" s="238" t="inlineStr">
        <is>
          <t>85</t>
        </is>
      </c>
      <c r="CW178" s="239" t="inlineStr">
        <is>
          <t>1,26x</t>
        </is>
      </c>
      <c r="CX178" s="240" t="inlineStr">
        <is>
          <t>54</t>
        </is>
      </c>
      <c r="CY178" s="241" t="inlineStr">
        <is>
          <t>0,00x</t>
        </is>
      </c>
      <c r="CZ178" s="242" t="inlineStr">
        <is>
          <t>-0,08%</t>
        </is>
      </c>
      <c r="DA178" s="243" t="inlineStr">
        <is>
          <t>1,86x</t>
        </is>
      </c>
      <c r="DB178" s="244" t="inlineStr">
        <is>
          <t>65</t>
        </is>
      </c>
      <c r="DC178" s="245" t="inlineStr">
        <is>
          <t>0,66x</t>
        </is>
      </c>
      <c r="DD178" s="246" t="inlineStr">
        <is>
          <t>40</t>
        </is>
      </c>
      <c r="DE178" s="247" t="inlineStr">
        <is>
          <t>1,27x</t>
        </is>
      </c>
      <c r="DF178" s="248" t="inlineStr">
        <is>
          <t>56</t>
        </is>
      </c>
      <c r="DG178" s="249" t="inlineStr">
        <is>
          <t>2,44x</t>
        </is>
      </c>
      <c r="DH178" s="250" t="inlineStr">
        <is>
          <t>68</t>
        </is>
      </c>
      <c r="DI178" s="251" t="inlineStr">
        <is>
          <t>0,31x</t>
        </is>
      </c>
      <c r="DJ178" s="252" t="inlineStr">
        <is>
          <t>31</t>
        </is>
      </c>
      <c r="DK178" s="253" t="inlineStr">
        <is>
          <t>1,00x</t>
        </is>
      </c>
      <c r="DL178" s="254" t="inlineStr">
        <is>
          <t>50</t>
        </is>
      </c>
      <c r="DM178" s="255" t="inlineStr">
        <is>
          <t>721</t>
        </is>
      </c>
      <c r="DN178" s="256" t="inlineStr">
        <is>
          <t>-753</t>
        </is>
      </c>
      <c r="DO178" s="257" t="inlineStr">
        <is>
          <t>-51,09%</t>
        </is>
      </c>
      <c r="DP178" s="258" t="inlineStr">
        <is>
          <t>245</t>
        </is>
      </c>
      <c r="DQ178" s="259" t="inlineStr">
        <is>
          <t>0</t>
        </is>
      </c>
      <c r="DR178" s="260" t="inlineStr">
        <is>
          <t>0,00%</t>
        </is>
      </c>
      <c r="DS178" s="261" t="inlineStr">
        <is>
          <t>88</t>
        </is>
      </c>
      <c r="DT178" s="262" t="inlineStr">
        <is>
          <t>0</t>
        </is>
      </c>
      <c r="DU178" s="263" t="inlineStr">
        <is>
          <t>0,00%</t>
        </is>
      </c>
      <c r="DV178" s="264" t="inlineStr">
        <is>
          <t>372</t>
        </is>
      </c>
      <c r="DW178" s="265" t="inlineStr">
        <is>
          <t>0</t>
        </is>
      </c>
      <c r="DX178" s="266" t="inlineStr">
        <is>
          <t>0,00%</t>
        </is>
      </c>
      <c r="DY178" s="267" t="inlineStr">
        <is>
          <t>PitchBook Research</t>
        </is>
      </c>
      <c r="DZ178" s="786">
        <f>HYPERLINK("https://my.pitchbook.com?c=115287-76", "View company online")</f>
      </c>
    </row>
    <row r="179">
      <c r="A179" s="9" t="inlineStr">
        <is>
          <t>170401-33</t>
        </is>
      </c>
      <c r="B179" s="10" t="inlineStr">
        <is>
          <t>Snatch</t>
        </is>
      </c>
      <c r="C179" s="11" t="inlineStr">
        <is>
          <t/>
        </is>
      </c>
      <c r="D179" s="12" t="inlineStr">
        <is>
          <t/>
        </is>
      </c>
      <c r="E179" s="13" t="inlineStr">
        <is>
          <t>170401-33</t>
        </is>
      </c>
      <c r="F179" s="14" t="inlineStr">
        <is>
          <t>Developer of virtual treasure hunt games designed to discover thousands of prizes and experiences from the world's top brands. The company's free to play virtual treasure hunt app Snatch uses augmented reality to helps users grab parcels hidden around them virtually, enabling players to win a free holiday, tickets to a gig, rewards and even hard cash.</t>
        </is>
      </c>
      <c r="G179" s="15" t="inlineStr">
        <is>
          <t>Information Technology</t>
        </is>
      </c>
      <c r="H179" s="16" t="inlineStr">
        <is>
          <t>Software</t>
        </is>
      </c>
      <c r="I179" s="17" t="inlineStr">
        <is>
          <t>Entertainment Software</t>
        </is>
      </c>
      <c r="J179" s="18" t="inlineStr">
        <is>
          <t>Entertainment Software*</t>
        </is>
      </c>
      <c r="K179" s="19" t="inlineStr">
        <is>
          <t>Mobile, Virtual Reality</t>
        </is>
      </c>
      <c r="L179" s="20" t="inlineStr">
        <is>
          <t>Venture Capital-Backed</t>
        </is>
      </c>
      <c r="M179" s="21" t="n">
        <v>5.69</v>
      </c>
      <c r="N179" s="22" t="inlineStr">
        <is>
          <t>Generating Revenue</t>
        </is>
      </c>
      <c r="O179" s="23" t="inlineStr">
        <is>
          <t>Privately Held (backing)</t>
        </is>
      </c>
      <c r="P179" s="24" t="inlineStr">
        <is>
          <t>Venture Capital</t>
        </is>
      </c>
      <c r="Q179" s="25" t="inlineStr">
        <is>
          <t>www.snatchhq.com</t>
        </is>
      </c>
      <c r="R179" s="26" t="inlineStr">
        <is>
          <t/>
        </is>
      </c>
      <c r="S179" s="27" t="inlineStr">
        <is>
          <t/>
        </is>
      </c>
      <c r="T179" s="28" t="inlineStr">
        <is>
          <t/>
        </is>
      </c>
      <c r="U179" s="29" t="n">
        <v>2016.0</v>
      </c>
      <c r="V179" s="30" t="inlineStr">
        <is>
          <t/>
        </is>
      </c>
      <c r="W179" s="31" t="inlineStr">
        <is>
          <t/>
        </is>
      </c>
      <c r="X179" s="32" t="inlineStr">
        <is>
          <t/>
        </is>
      </c>
      <c r="Y179" s="33" t="inlineStr">
        <is>
          <t/>
        </is>
      </c>
      <c r="Z179" s="34" t="inlineStr">
        <is>
          <t/>
        </is>
      </c>
      <c r="AA179" s="35" t="inlineStr">
        <is>
          <t/>
        </is>
      </c>
      <c r="AB179" s="36" t="inlineStr">
        <is>
          <t/>
        </is>
      </c>
      <c r="AC179" s="37" t="inlineStr">
        <is>
          <t/>
        </is>
      </c>
      <c r="AD179" s="38" t="inlineStr">
        <is>
          <t/>
        </is>
      </c>
      <c r="AE179" s="39" t="inlineStr">
        <is>
          <t>156539-71P</t>
        </is>
      </c>
      <c r="AF179" s="40" t="inlineStr">
        <is>
          <t>Joe Martin</t>
        </is>
      </c>
      <c r="AG179" s="41" t="inlineStr">
        <is>
          <t>Co-Founder &amp; Chief Executive</t>
        </is>
      </c>
      <c r="AH179" s="42" t="inlineStr">
        <is>
          <t>joe@snatchhq.com</t>
        </is>
      </c>
      <c r="AI179" s="43" t="inlineStr">
        <is>
          <t/>
        </is>
      </c>
      <c r="AJ179" s="44" t="inlineStr">
        <is>
          <t>Tunbridge Wells, United Kingdom</t>
        </is>
      </c>
      <c r="AK179" s="45" t="inlineStr">
        <is>
          <t>53, Nelson Road</t>
        </is>
      </c>
      <c r="AL179" s="46" t="inlineStr">
        <is>
          <t/>
        </is>
      </c>
      <c r="AM179" s="47" t="inlineStr">
        <is>
          <t>Tunbridge Wells</t>
        </is>
      </c>
      <c r="AN179" s="48" t="inlineStr">
        <is>
          <t>England</t>
        </is>
      </c>
      <c r="AO179" s="49" t="inlineStr">
        <is>
          <t>TN2 5AW</t>
        </is>
      </c>
      <c r="AP179" s="50" t="inlineStr">
        <is>
          <t>United Kingdom</t>
        </is>
      </c>
      <c r="AQ179" s="51" t="inlineStr">
        <is>
          <t/>
        </is>
      </c>
      <c r="AR179" s="52" t="inlineStr">
        <is>
          <t/>
        </is>
      </c>
      <c r="AS179" s="53" t="inlineStr">
        <is>
          <t/>
        </is>
      </c>
      <c r="AT179" s="54" t="inlineStr">
        <is>
          <t>Europe</t>
        </is>
      </c>
      <c r="AU179" s="55" t="inlineStr">
        <is>
          <t>Western Europe</t>
        </is>
      </c>
      <c r="AV179" s="56" t="inlineStr">
        <is>
          <t>The company raised GBP 4.4 million in a combination of debt and seed funding in a deal led by Initial Capital on November 2, 2017. FirstMinute Capital, CrunchFund, Simon Equity Partners, Cassius Family, Hanson Asset Management, Velocity Technology Fund and Silicon Valley Bank also participated in the round. The funds will be used for product development, grow the app in the UK, as well as start planning to expand internationally, with a US launch. Previously, the company raised GBP 499,982 of venture funding from Unilever Ventures on February 9, 2017, putting the pre-money valuation at GBP 2.38 million.</t>
        </is>
      </c>
      <c r="AW179" s="57" t="inlineStr">
        <is>
          <t>Cassius Family, CrunchFund, E.Man, Firstminute Capital, Hanson Asset Management, Initial Capital, Silicon Valley Bank, Simon Equity Partners, Unilever Ventures, Velocity Capital</t>
        </is>
      </c>
      <c r="AX179" s="58" t="n">
        <v>10.0</v>
      </c>
      <c r="AY179" s="59" t="inlineStr">
        <is>
          <t/>
        </is>
      </c>
      <c r="AZ179" s="60" t="inlineStr">
        <is>
          <t/>
        </is>
      </c>
      <c r="BA179" s="61" t="inlineStr">
        <is>
          <t/>
        </is>
      </c>
      <c r="BB179" s="62" t="inlineStr">
        <is>
          <t>Cassius Family (www.cassiusfamily.com), CrunchFund (cf.vc), E.Man (www.e-man.co.uk), Firstminute Capital (www.firstminute.capital), Hanson Asset Management (www.hansonam.com), Initial Capital (www.initialcapital.com), Silicon Valley Bank (www.svb.com), Simon Equity Partners (www.simonequity.com), Unilever Ventures (www.unileverventures.com)</t>
        </is>
      </c>
      <c r="BC179" s="63" t="inlineStr">
        <is>
          <t/>
        </is>
      </c>
      <c r="BD179" s="64" t="inlineStr">
        <is>
          <t/>
        </is>
      </c>
      <c r="BE179" s="65" t="inlineStr">
        <is>
          <t/>
        </is>
      </c>
      <c r="BF179" s="66" t="inlineStr">
        <is>
          <t/>
        </is>
      </c>
      <c r="BG179" s="67" t="n">
        <v>42625.0</v>
      </c>
      <c r="BH179" s="68" t="n">
        <v>0.17</v>
      </c>
      <c r="BI179" s="69" t="inlineStr">
        <is>
          <t>Actual</t>
        </is>
      </c>
      <c r="BJ179" s="70" t="n">
        <v>0.85</v>
      </c>
      <c r="BK179" s="71" t="inlineStr">
        <is>
          <t>Actual</t>
        </is>
      </c>
      <c r="BL179" s="72" t="inlineStr">
        <is>
          <t>Accelerator/Incubator</t>
        </is>
      </c>
      <c r="BM179" s="73" t="inlineStr">
        <is>
          <t/>
        </is>
      </c>
      <c r="BN179" s="74" t="inlineStr">
        <is>
          <t/>
        </is>
      </c>
      <c r="BO179" s="75" t="inlineStr">
        <is>
          <t>Other</t>
        </is>
      </c>
      <c r="BP179" s="76" t="inlineStr">
        <is>
          <t/>
        </is>
      </c>
      <c r="BQ179" s="77" t="inlineStr">
        <is>
          <t/>
        </is>
      </c>
      <c r="BR179" s="78" t="inlineStr">
        <is>
          <t/>
        </is>
      </c>
      <c r="BS179" s="79" t="inlineStr">
        <is>
          <t>Completed</t>
        </is>
      </c>
      <c r="BT179" s="80" t="n">
        <v>43041.0</v>
      </c>
      <c r="BU179" s="81" t="n">
        <v>4.94</v>
      </c>
      <c r="BV179" s="82" t="inlineStr">
        <is>
          <t>Actual</t>
        </is>
      </c>
      <c r="BW179" s="83" t="inlineStr">
        <is>
          <t/>
        </is>
      </c>
      <c r="BX179" s="84" t="inlineStr">
        <is>
          <t/>
        </is>
      </c>
      <c r="BY179" s="85" t="inlineStr">
        <is>
          <t>Seed Round</t>
        </is>
      </c>
      <c r="BZ179" s="86" t="inlineStr">
        <is>
          <t>Seed</t>
        </is>
      </c>
      <c r="CA179" s="87" t="inlineStr">
        <is>
          <t/>
        </is>
      </c>
      <c r="CB179" s="88" t="inlineStr">
        <is>
          <t>Venture Capital</t>
        </is>
      </c>
      <c r="CC179" s="89" t="inlineStr">
        <is>
          <t>Loan</t>
        </is>
      </c>
      <c r="CD179" s="90" t="inlineStr">
        <is>
          <t/>
        </is>
      </c>
      <c r="CE179" s="91" t="inlineStr">
        <is>
          <t/>
        </is>
      </c>
      <c r="CF179" s="92" t="inlineStr">
        <is>
          <t>Completed</t>
        </is>
      </c>
      <c r="CG179" s="93" t="inlineStr">
        <is>
          <t>0,28%</t>
        </is>
      </c>
      <c r="CH179" s="94" t="inlineStr">
        <is>
          <t>89</t>
        </is>
      </c>
      <c r="CI179" s="95" t="inlineStr">
        <is>
          <t>-0,05%</t>
        </is>
      </c>
      <c r="CJ179" s="96" t="inlineStr">
        <is>
          <t>-16,28%</t>
        </is>
      </c>
      <c r="CK179" s="97" t="inlineStr">
        <is>
          <t>-3,90%</t>
        </is>
      </c>
      <c r="CL179" s="98" t="inlineStr">
        <is>
          <t>10</t>
        </is>
      </c>
      <c r="CM179" s="99" t="inlineStr">
        <is>
          <t>2,03%</t>
        </is>
      </c>
      <c r="CN179" s="100" t="inlineStr">
        <is>
          <t>99</t>
        </is>
      </c>
      <c r="CO179" s="101" t="inlineStr">
        <is>
          <t>-7,80%</t>
        </is>
      </c>
      <c r="CP179" s="102" t="inlineStr">
        <is>
          <t>16</t>
        </is>
      </c>
      <c r="CQ179" s="103" t="inlineStr">
        <is>
          <t>0,00%</t>
        </is>
      </c>
      <c r="CR179" s="104" t="inlineStr">
        <is>
          <t>20</t>
        </is>
      </c>
      <c r="CS179" s="105" t="inlineStr">
        <is>
          <t>2,58%</t>
        </is>
      </c>
      <c r="CT179" s="106" t="inlineStr">
        <is>
          <t>99</t>
        </is>
      </c>
      <c r="CU179" s="107" t="inlineStr">
        <is>
          <t>1,48%</t>
        </is>
      </c>
      <c r="CV179" s="108" t="inlineStr">
        <is>
          <t>98</t>
        </is>
      </c>
      <c r="CW179" s="109" t="inlineStr">
        <is>
          <t>6,81x</t>
        </is>
      </c>
      <c r="CX179" s="110" t="inlineStr">
        <is>
          <t>84</t>
        </is>
      </c>
      <c r="CY179" s="111" t="inlineStr">
        <is>
          <t>0,25x</t>
        </is>
      </c>
      <c r="CZ179" s="112" t="inlineStr">
        <is>
          <t>3,79%</t>
        </is>
      </c>
      <c r="DA179" s="113" t="inlineStr">
        <is>
          <t>1,15x</t>
        </is>
      </c>
      <c r="DB179" s="114" t="inlineStr">
        <is>
          <t>55</t>
        </is>
      </c>
      <c r="DC179" s="115" t="inlineStr">
        <is>
          <t>17,04x</t>
        </is>
      </c>
      <c r="DD179" s="116" t="inlineStr">
        <is>
          <t>88</t>
        </is>
      </c>
      <c r="DE179" s="117" t="inlineStr">
        <is>
          <t>0,55x</t>
        </is>
      </c>
      <c r="DF179" s="118" t="inlineStr">
        <is>
          <t>36</t>
        </is>
      </c>
      <c r="DG179" s="119" t="inlineStr">
        <is>
          <t>1,75x</t>
        </is>
      </c>
      <c r="DH179" s="120" t="inlineStr">
        <is>
          <t>62</t>
        </is>
      </c>
      <c r="DI179" s="121" t="inlineStr">
        <is>
          <t>13,31x</t>
        </is>
      </c>
      <c r="DJ179" s="122" t="inlineStr">
        <is>
          <t>84</t>
        </is>
      </c>
      <c r="DK179" s="123" t="inlineStr">
        <is>
          <t>20,77x</t>
        </is>
      </c>
      <c r="DL179" s="124" t="inlineStr">
        <is>
          <t>92</t>
        </is>
      </c>
      <c r="DM179" s="125" t="inlineStr">
        <is>
          <t>215</t>
        </is>
      </c>
      <c r="DN179" s="126" t="inlineStr">
        <is>
          <t>-54</t>
        </is>
      </c>
      <c r="DO179" s="127" t="inlineStr">
        <is>
          <t>-20,07%</t>
        </is>
      </c>
      <c r="DP179" s="128" t="inlineStr">
        <is>
          <t>10.249</t>
        </is>
      </c>
      <c r="DQ179" s="129" t="inlineStr">
        <is>
          <t>627</t>
        </is>
      </c>
      <c r="DR179" s="130" t="inlineStr">
        <is>
          <t>6,52%</t>
        </is>
      </c>
      <c r="DS179" s="131" t="inlineStr">
        <is>
          <t>63</t>
        </is>
      </c>
      <c r="DT179" s="132" t="inlineStr">
        <is>
          <t>0</t>
        </is>
      </c>
      <c r="DU179" s="133" t="inlineStr">
        <is>
          <t>0,00%</t>
        </is>
      </c>
      <c r="DV179" s="134" t="inlineStr">
        <is>
          <t>7.629</t>
        </is>
      </c>
      <c r="DW179" s="135" t="inlineStr">
        <is>
          <t>267</t>
        </is>
      </c>
      <c r="DX179" s="136" t="inlineStr">
        <is>
          <t>3,63%</t>
        </is>
      </c>
      <c r="DY179" s="137" t="inlineStr">
        <is>
          <t>PitchBook Research</t>
        </is>
      </c>
      <c r="DZ179" s="785">
        <f>HYPERLINK("https://my.pitchbook.com?c=170401-33", "View company online")</f>
      </c>
    </row>
    <row r="180">
      <c r="A180" s="139" t="inlineStr">
        <is>
          <t>93796-84</t>
        </is>
      </c>
      <c r="B180" s="140" t="inlineStr">
        <is>
          <t>Linked P2P</t>
        </is>
      </c>
      <c r="C180" s="141" t="inlineStr">
        <is>
          <t/>
        </is>
      </c>
      <c r="D180" s="142" t="inlineStr">
        <is>
          <t>Linked Finance</t>
        </is>
      </c>
      <c r="E180" s="143" t="inlineStr">
        <is>
          <t>93796-84</t>
        </is>
      </c>
      <c r="F180" s="144" t="inlineStr">
        <is>
          <t>Provider of a lending platform designed to help small businesses in Ireland to have access to funding. The company's lending platform offers loans with a vibrant online lending community to make the process of lending simpler and easy to access, enabling clients to grow their business in a hassle free way.</t>
        </is>
      </c>
      <c r="G180" s="145" t="inlineStr">
        <is>
          <t>Information Technology</t>
        </is>
      </c>
      <c r="H180" s="146" t="inlineStr">
        <is>
          <t>Software</t>
        </is>
      </c>
      <c r="I180" s="147" t="inlineStr">
        <is>
          <t>Financial Software</t>
        </is>
      </c>
      <c r="J180" s="148" t="inlineStr">
        <is>
          <t>Financial Software*; Other Financial Services; Social/Platform Software</t>
        </is>
      </c>
      <c r="K180" s="149" t="inlineStr">
        <is>
          <t>FinTech</t>
        </is>
      </c>
      <c r="L180" s="150" t="inlineStr">
        <is>
          <t>Venture Capital-Backed</t>
        </is>
      </c>
      <c r="M180" s="151" t="n">
        <v>5.85</v>
      </c>
      <c r="N180" s="152" t="inlineStr">
        <is>
          <t>Generating Revenue/Not Profitable</t>
        </is>
      </c>
      <c r="O180" s="153" t="inlineStr">
        <is>
          <t>Privately Held (backing)</t>
        </is>
      </c>
      <c r="P180" s="154" t="inlineStr">
        <is>
          <t>Venture Capital</t>
        </is>
      </c>
      <c r="Q180" s="155" t="inlineStr">
        <is>
          <t>www.linkedfinance.com</t>
        </is>
      </c>
      <c r="R180" s="156" t="n">
        <v>16.0</v>
      </c>
      <c r="S180" s="157" t="inlineStr">
        <is>
          <t/>
        </is>
      </c>
      <c r="T180" s="158" t="inlineStr">
        <is>
          <t/>
        </is>
      </c>
      <c r="U180" s="159" t="n">
        <v>2013.0</v>
      </c>
      <c r="V180" s="160" t="inlineStr">
        <is>
          <t/>
        </is>
      </c>
      <c r="W180" s="161" t="inlineStr">
        <is>
          <t/>
        </is>
      </c>
      <c r="X180" s="162" t="inlineStr">
        <is>
          <t/>
        </is>
      </c>
      <c r="Y180" s="163" t="inlineStr">
        <is>
          <t/>
        </is>
      </c>
      <c r="Z180" s="164" t="inlineStr">
        <is>
          <t/>
        </is>
      </c>
      <c r="AA180" s="165" t="n">
        <v>-1.26162</v>
      </c>
      <c r="AB180" s="166" t="inlineStr">
        <is>
          <t/>
        </is>
      </c>
      <c r="AC180" s="167" t="inlineStr">
        <is>
          <t/>
        </is>
      </c>
      <c r="AD180" s="168" t="inlineStr">
        <is>
          <t>FY 2016</t>
        </is>
      </c>
      <c r="AE180" s="169" t="inlineStr">
        <is>
          <t>104919-40P</t>
        </is>
      </c>
      <c r="AF180" s="170" t="inlineStr">
        <is>
          <t>Peter O'Mahony</t>
        </is>
      </c>
      <c r="AG180" s="171" t="inlineStr">
        <is>
          <t>Co-Founder</t>
        </is>
      </c>
      <c r="AH180" s="172" t="inlineStr">
        <is>
          <t/>
        </is>
      </c>
      <c r="AI180" s="173" t="inlineStr">
        <is>
          <t>+353 (0)1 906 0300</t>
        </is>
      </c>
      <c r="AJ180" s="174" t="inlineStr">
        <is>
          <t>Dublin, Ireland</t>
        </is>
      </c>
      <c r="AK180" s="175" t="inlineStr">
        <is>
          <t>16 Lower Liffey Street</t>
        </is>
      </c>
      <c r="AL180" s="176" t="inlineStr">
        <is>
          <t/>
        </is>
      </c>
      <c r="AM180" s="177" t="inlineStr">
        <is>
          <t>Dublin</t>
        </is>
      </c>
      <c r="AN180" s="178" t="inlineStr">
        <is>
          <t/>
        </is>
      </c>
      <c r="AO180" s="179" t="inlineStr">
        <is>
          <t>D01 P0E0</t>
        </is>
      </c>
      <c r="AP180" s="180" t="inlineStr">
        <is>
          <t>Ireland</t>
        </is>
      </c>
      <c r="AQ180" s="181" t="inlineStr">
        <is>
          <t>+353 (0)1 906 0300</t>
        </is>
      </c>
      <c r="AR180" s="182" t="inlineStr">
        <is>
          <t/>
        </is>
      </c>
      <c r="AS180" s="183" t="inlineStr">
        <is>
          <t>help@linkedfinnace.com</t>
        </is>
      </c>
      <c r="AT180" s="184" t="inlineStr">
        <is>
          <t>Europe</t>
        </is>
      </c>
      <c r="AU180" s="185" t="inlineStr">
        <is>
          <t>Western Europe</t>
        </is>
      </c>
      <c r="AV180" s="186" t="inlineStr">
        <is>
          <t>The company raised EUR 2 million of venture funding in a deal led by Frontline Ventures on October 12, 2017. David Holohan and other 27 undisclosed investors also participated in the round. The funding will provide Linked Finance with the resources needed to increase its sales and marketing activity as it looks to raise awareness of peer-to-peer lending in Ireland.</t>
        </is>
      </c>
      <c r="AW180" s="187" t="inlineStr">
        <is>
          <t>David Holohan, Enterprise Ireland, Frontline Ventures</t>
        </is>
      </c>
      <c r="AX180" s="188" t="n">
        <v>3.0</v>
      </c>
      <c r="AY180" s="189" t="inlineStr">
        <is>
          <t/>
        </is>
      </c>
      <c r="AZ180" s="190" t="inlineStr">
        <is>
          <t/>
        </is>
      </c>
      <c r="BA180" s="191" t="inlineStr">
        <is>
          <t/>
        </is>
      </c>
      <c r="BB180" s="192" t="inlineStr">
        <is>
          <t>Enterprise Ireland (www.enterprise-ireland.com), Frontline Ventures (www.frontline.vc)</t>
        </is>
      </c>
      <c r="BC180" s="193" t="inlineStr">
        <is>
          <t/>
        </is>
      </c>
      <c r="BD180" s="194" t="inlineStr">
        <is>
          <t/>
        </is>
      </c>
      <c r="BE180" s="195" t="inlineStr">
        <is>
          <t/>
        </is>
      </c>
      <c r="BF180" s="196" t="inlineStr">
        <is>
          <t>Maples &amp; Calder (Legal Advisor)</t>
        </is>
      </c>
      <c r="BG180" s="197" t="n">
        <v>41334.0</v>
      </c>
      <c r="BH180" s="198" t="n">
        <v>0.35</v>
      </c>
      <c r="BI180" s="199" t="inlineStr">
        <is>
          <t>Actual</t>
        </is>
      </c>
      <c r="BJ180" s="200" t="inlineStr">
        <is>
          <t/>
        </is>
      </c>
      <c r="BK180" s="201" t="inlineStr">
        <is>
          <t/>
        </is>
      </c>
      <c r="BL180" s="202" t="inlineStr">
        <is>
          <t>Early Stage VC</t>
        </is>
      </c>
      <c r="BM180" s="203" t="inlineStr">
        <is>
          <t/>
        </is>
      </c>
      <c r="BN180" s="204" t="inlineStr">
        <is>
          <t/>
        </is>
      </c>
      <c r="BO180" s="205" t="inlineStr">
        <is>
          <t>Venture Capital</t>
        </is>
      </c>
      <c r="BP180" s="206" t="inlineStr">
        <is>
          <t/>
        </is>
      </c>
      <c r="BQ180" s="207" t="inlineStr">
        <is>
          <t/>
        </is>
      </c>
      <c r="BR180" s="208" t="inlineStr">
        <is>
          <t/>
        </is>
      </c>
      <c r="BS180" s="209" t="inlineStr">
        <is>
          <t>Completed</t>
        </is>
      </c>
      <c r="BT180" s="210" t="n">
        <v>43020.0</v>
      </c>
      <c r="BU180" s="211" t="n">
        <v>2.0</v>
      </c>
      <c r="BV180" s="212" t="inlineStr">
        <is>
          <t>Actual</t>
        </is>
      </c>
      <c r="BW180" s="213" t="inlineStr">
        <is>
          <t/>
        </is>
      </c>
      <c r="BX180" s="214" t="inlineStr">
        <is>
          <t/>
        </is>
      </c>
      <c r="BY180" s="215" t="inlineStr">
        <is>
          <t>Early Stage VC</t>
        </is>
      </c>
      <c r="BZ180" s="216" t="inlineStr">
        <is>
          <t/>
        </is>
      </c>
      <c r="CA180" s="217" t="inlineStr">
        <is>
          <t/>
        </is>
      </c>
      <c r="CB180" s="218" t="inlineStr">
        <is>
          <t>Venture Capital</t>
        </is>
      </c>
      <c r="CC180" s="219" t="inlineStr">
        <is>
          <t/>
        </is>
      </c>
      <c r="CD180" s="220" t="inlineStr">
        <is>
          <t/>
        </is>
      </c>
      <c r="CE180" s="221" t="inlineStr">
        <is>
          <t/>
        </is>
      </c>
      <c r="CF180" s="222" t="inlineStr">
        <is>
          <t>Completed</t>
        </is>
      </c>
      <c r="CG180" s="223" t="inlineStr">
        <is>
          <t>-0,94%</t>
        </is>
      </c>
      <c r="CH180" s="224" t="inlineStr">
        <is>
          <t>15</t>
        </is>
      </c>
      <c r="CI180" s="225" t="inlineStr">
        <is>
          <t>-0,07%</t>
        </is>
      </c>
      <c r="CJ180" s="226" t="inlineStr">
        <is>
          <t>-8,09%</t>
        </is>
      </c>
      <c r="CK180" s="227" t="inlineStr">
        <is>
          <t>-2,01%</t>
        </is>
      </c>
      <c r="CL180" s="228" t="inlineStr">
        <is>
          <t>14</t>
        </is>
      </c>
      <c r="CM180" s="229" t="inlineStr">
        <is>
          <t>0,14%</t>
        </is>
      </c>
      <c r="CN180" s="230" t="inlineStr">
        <is>
          <t>64</t>
        </is>
      </c>
      <c r="CO180" s="231" t="inlineStr">
        <is>
          <t>-2,78%</t>
        </is>
      </c>
      <c r="CP180" s="232" t="inlineStr">
        <is>
          <t>27</t>
        </is>
      </c>
      <c r="CQ180" s="233" t="inlineStr">
        <is>
          <t>-1,24%</t>
        </is>
      </c>
      <c r="CR180" s="234" t="inlineStr">
        <is>
          <t>7</t>
        </is>
      </c>
      <c r="CS180" s="235" t="inlineStr">
        <is>
          <t>0,09%</t>
        </is>
      </c>
      <c r="CT180" s="236" t="inlineStr">
        <is>
          <t>55</t>
        </is>
      </c>
      <c r="CU180" s="237" t="inlineStr">
        <is>
          <t>0,18%</t>
        </is>
      </c>
      <c r="CV180" s="238" t="inlineStr">
        <is>
          <t>75</t>
        </is>
      </c>
      <c r="CW180" s="239" t="inlineStr">
        <is>
          <t>5,78x</t>
        </is>
      </c>
      <c r="CX180" s="240" t="inlineStr">
        <is>
          <t>82</t>
        </is>
      </c>
      <c r="CY180" s="241" t="inlineStr">
        <is>
          <t>-0,03x</t>
        </is>
      </c>
      <c r="CZ180" s="242" t="inlineStr">
        <is>
          <t>-0,53%</t>
        </is>
      </c>
      <c r="DA180" s="243" t="inlineStr">
        <is>
          <t>7,33x</t>
        </is>
      </c>
      <c r="DB180" s="244" t="inlineStr">
        <is>
          <t>86</t>
        </is>
      </c>
      <c r="DC180" s="245" t="inlineStr">
        <is>
          <t>4,23x</t>
        </is>
      </c>
      <c r="DD180" s="246" t="inlineStr">
        <is>
          <t>74</t>
        </is>
      </c>
      <c r="DE180" s="247" t="inlineStr">
        <is>
          <t>10,96x</t>
        </is>
      </c>
      <c r="DF180" s="248" t="inlineStr">
        <is>
          <t>88</t>
        </is>
      </c>
      <c r="DG180" s="249" t="inlineStr">
        <is>
          <t>3,69x</t>
        </is>
      </c>
      <c r="DH180" s="250" t="inlineStr">
        <is>
          <t>75</t>
        </is>
      </c>
      <c r="DI180" s="251" t="inlineStr">
        <is>
          <t>1,53x</t>
        </is>
      </c>
      <c r="DJ180" s="252" t="inlineStr">
        <is>
          <t>58</t>
        </is>
      </c>
      <c r="DK180" s="253" t="inlineStr">
        <is>
          <t>6,93x</t>
        </is>
      </c>
      <c r="DL180" s="254" t="inlineStr">
        <is>
          <t>83</t>
        </is>
      </c>
      <c r="DM180" s="255" t="inlineStr">
        <is>
          <t>4.132</t>
        </is>
      </c>
      <c r="DN180" s="256" t="inlineStr">
        <is>
          <t>-191</t>
        </is>
      </c>
      <c r="DO180" s="257" t="inlineStr">
        <is>
          <t>-4,42%</t>
        </is>
      </c>
      <c r="DP180" s="258" t="inlineStr">
        <is>
          <t>1.211</t>
        </is>
      </c>
      <c r="DQ180" s="259" t="inlineStr">
        <is>
          <t>1</t>
        </is>
      </c>
      <c r="DR180" s="260" t="inlineStr">
        <is>
          <t>0,08%</t>
        </is>
      </c>
      <c r="DS180" s="261" t="inlineStr">
        <is>
          <t>133</t>
        </is>
      </c>
      <c r="DT180" s="262" t="inlineStr">
        <is>
          <t>-2</t>
        </is>
      </c>
      <c r="DU180" s="263" t="inlineStr">
        <is>
          <t>-1,48%</t>
        </is>
      </c>
      <c r="DV180" s="264" t="inlineStr">
        <is>
          <t>2.587</t>
        </is>
      </c>
      <c r="DW180" s="265" t="inlineStr">
        <is>
          <t>2</t>
        </is>
      </c>
      <c r="DX180" s="266" t="inlineStr">
        <is>
          <t>0,08%</t>
        </is>
      </c>
      <c r="DY180" s="267" t="inlineStr">
        <is>
          <t>PitchBook Research</t>
        </is>
      </c>
      <c r="DZ180" s="786">
        <f>HYPERLINK("https://my.pitchbook.com?c=93796-84", "View company online")</f>
      </c>
    </row>
    <row r="181">
      <c r="A181" s="9" t="inlineStr">
        <is>
          <t>161554-78</t>
        </is>
      </c>
      <c r="B181" s="10" t="inlineStr">
        <is>
          <t>Lofelt</t>
        </is>
      </c>
      <c r="C181" s="11" t="inlineStr">
        <is>
          <t/>
        </is>
      </c>
      <c r="D181" s="12" t="inlineStr">
        <is>
          <t/>
        </is>
      </c>
      <c r="E181" s="13" t="inlineStr">
        <is>
          <t>161554-78</t>
        </is>
      </c>
      <c r="F181" s="14" t="inlineStr">
        <is>
          <t>Developer of haptic technology products designed to create a natural connection between people and their digital devices. The company's wearable sub-woofer, Basslet is equipped with HD haptic engine that recreates the bass frequencies of music in high fidelity, enabling customers to not only hear the sound but also feel it physically.</t>
        </is>
      </c>
      <c r="G181" s="15" t="inlineStr">
        <is>
          <t>Consumer Products and Services (B2C)</t>
        </is>
      </c>
      <c r="H181" s="16" t="inlineStr">
        <is>
          <t>Consumer Durables</t>
        </is>
      </c>
      <c r="I181" s="17" t="inlineStr">
        <is>
          <t>Electronics (B2C)</t>
        </is>
      </c>
      <c r="J181" s="18" t="inlineStr">
        <is>
          <t>Electronics (B2C)*</t>
        </is>
      </c>
      <c r="K181" s="19" t="inlineStr">
        <is>
          <t>AudioTech, Virtual Reality, Wearables &amp; Quantified Self</t>
        </is>
      </c>
      <c r="L181" s="20" t="inlineStr">
        <is>
          <t>Venture Capital-Backed</t>
        </is>
      </c>
      <c r="M181" s="21" t="n">
        <v>5.93</v>
      </c>
      <c r="N181" s="22" t="inlineStr">
        <is>
          <t>Generating Revenue</t>
        </is>
      </c>
      <c r="O181" s="23" t="inlineStr">
        <is>
          <t>Privately Held (backing)</t>
        </is>
      </c>
      <c r="P181" s="24" t="inlineStr">
        <is>
          <t>Venture Capital</t>
        </is>
      </c>
      <c r="Q181" s="25" t="inlineStr">
        <is>
          <t>www.lofelt.com</t>
        </is>
      </c>
      <c r="R181" s="26" t="n">
        <v>11.0</v>
      </c>
      <c r="S181" s="27" t="inlineStr">
        <is>
          <t/>
        </is>
      </c>
      <c r="T181" s="28" t="inlineStr">
        <is>
          <t/>
        </is>
      </c>
      <c r="U181" s="29" t="n">
        <v>2014.0</v>
      </c>
      <c r="V181" s="30" t="inlineStr">
        <is>
          <t/>
        </is>
      </c>
      <c r="W181" s="31" t="inlineStr">
        <is>
          <t/>
        </is>
      </c>
      <c r="X181" s="32" t="inlineStr">
        <is>
          <t/>
        </is>
      </c>
      <c r="Y181" s="33" t="inlineStr">
        <is>
          <t/>
        </is>
      </c>
      <c r="Z181" s="34" t="inlineStr">
        <is>
          <t/>
        </is>
      </c>
      <c r="AA181" s="35" t="inlineStr">
        <is>
          <t/>
        </is>
      </c>
      <c r="AB181" s="36" t="inlineStr">
        <is>
          <t/>
        </is>
      </c>
      <c r="AC181" s="37" t="inlineStr">
        <is>
          <t/>
        </is>
      </c>
      <c r="AD181" s="38" t="inlineStr">
        <is>
          <t/>
        </is>
      </c>
      <c r="AE181" s="39" t="inlineStr">
        <is>
          <t>138385-63P</t>
        </is>
      </c>
      <c r="AF181" s="40" t="inlineStr">
        <is>
          <t>Daniel Büttner</t>
        </is>
      </c>
      <c r="AG181" s="41" t="inlineStr">
        <is>
          <t>Co-Founder, Managing Director &amp; Chief Executive Officer</t>
        </is>
      </c>
      <c r="AH181" s="42" t="inlineStr">
        <is>
          <t>daniel@lofelt.com</t>
        </is>
      </c>
      <c r="AI181" s="43" t="inlineStr">
        <is>
          <t>+49 (0)30 1205 3177</t>
        </is>
      </c>
      <c r="AJ181" s="44" t="inlineStr">
        <is>
          <t>Berlin, Germany</t>
        </is>
      </c>
      <c r="AK181" s="45" t="inlineStr">
        <is>
          <t>Glogauer Str. 21</t>
        </is>
      </c>
      <c r="AL181" s="46" t="inlineStr">
        <is>
          <t/>
        </is>
      </c>
      <c r="AM181" s="47" t="inlineStr">
        <is>
          <t>Berlin</t>
        </is>
      </c>
      <c r="AN181" s="48" t="inlineStr">
        <is>
          <t/>
        </is>
      </c>
      <c r="AO181" s="49" t="inlineStr">
        <is>
          <t>10999</t>
        </is>
      </c>
      <c r="AP181" s="50" t="inlineStr">
        <is>
          <t>Germany</t>
        </is>
      </c>
      <c r="AQ181" s="51" t="inlineStr">
        <is>
          <t>+49 (0)30 1205 3177</t>
        </is>
      </c>
      <c r="AR181" s="52" t="inlineStr">
        <is>
          <t/>
        </is>
      </c>
      <c r="AS181" s="53" t="inlineStr">
        <is>
          <t>hello@lofelt.com</t>
        </is>
      </c>
      <c r="AT181" s="54" t="inlineStr">
        <is>
          <t>Europe</t>
        </is>
      </c>
      <c r="AU181" s="55" t="inlineStr">
        <is>
          <t>Western Europe</t>
        </is>
      </c>
      <c r="AV181" s="56" t="inlineStr">
        <is>
          <t>The company raised $5.4 million of Series A venture funding in a deal led by Wolfman.One on October 17, 2017. Horizon Ventures, Q Venture Partners and Coparion also participated in the round. The funds will be used to invest in expanding the engineering team to accelerate development of new user experiences and technologies.</t>
        </is>
      </c>
      <c r="AW181" s="57" t="inlineStr">
        <is>
          <t>Coparion, Horizon Ventures, Pro-FIT, Q Venture Partners, Wolfman.One</t>
        </is>
      </c>
      <c r="AX181" s="58" t="n">
        <v>5.0</v>
      </c>
      <c r="AY181" s="59" t="inlineStr">
        <is>
          <t/>
        </is>
      </c>
      <c r="AZ181" s="60" t="inlineStr">
        <is>
          <t/>
        </is>
      </c>
      <c r="BA181" s="61" t="inlineStr">
        <is>
          <t/>
        </is>
      </c>
      <c r="BB181" s="62" t="inlineStr">
        <is>
          <t>Coparion (www.coparion.vc), Horizon Ventures (www.horizonvc.com), Q Venture Partners (www.qventure.partners), Wolfman.One (www.wolfman.one)</t>
        </is>
      </c>
      <c r="BC181" s="63" t="inlineStr">
        <is>
          <t/>
        </is>
      </c>
      <c r="BD181" s="64" t="inlineStr">
        <is>
          <t/>
        </is>
      </c>
      <c r="BE181" s="65" t="inlineStr">
        <is>
          <t>BerlinerStrategen (Advisor: General)</t>
        </is>
      </c>
      <c r="BF181" s="66" t="inlineStr">
        <is>
          <t>Kickstarter (Lead Manager or Arranger)</t>
        </is>
      </c>
      <c r="BG181" s="67" t="n">
        <v>42542.0</v>
      </c>
      <c r="BH181" s="68" t="n">
        <v>1.33</v>
      </c>
      <c r="BI181" s="69" t="inlineStr">
        <is>
          <t>Actual</t>
        </is>
      </c>
      <c r="BJ181" s="70" t="inlineStr">
        <is>
          <t/>
        </is>
      </c>
      <c r="BK181" s="71" t="inlineStr">
        <is>
          <t/>
        </is>
      </c>
      <c r="BL181" s="72" t="inlineStr">
        <is>
          <t>Early Stage VC</t>
        </is>
      </c>
      <c r="BM181" s="73" t="inlineStr">
        <is>
          <t/>
        </is>
      </c>
      <c r="BN181" s="74" t="inlineStr">
        <is>
          <t/>
        </is>
      </c>
      <c r="BO181" s="75" t="inlineStr">
        <is>
          <t>Venture Capital</t>
        </is>
      </c>
      <c r="BP181" s="76" t="inlineStr">
        <is>
          <t/>
        </is>
      </c>
      <c r="BQ181" s="77" t="inlineStr">
        <is>
          <t/>
        </is>
      </c>
      <c r="BR181" s="78" t="inlineStr">
        <is>
          <t/>
        </is>
      </c>
      <c r="BS181" s="79" t="inlineStr">
        <is>
          <t>Completed</t>
        </is>
      </c>
      <c r="BT181" s="80" t="n">
        <v>43025.0</v>
      </c>
      <c r="BU181" s="81" t="n">
        <v>4.59</v>
      </c>
      <c r="BV181" s="82" t="inlineStr">
        <is>
          <t>Actual</t>
        </is>
      </c>
      <c r="BW181" s="83" t="inlineStr">
        <is>
          <t/>
        </is>
      </c>
      <c r="BX181" s="84" t="inlineStr">
        <is>
          <t/>
        </is>
      </c>
      <c r="BY181" s="85" t="inlineStr">
        <is>
          <t>Early Stage VC</t>
        </is>
      </c>
      <c r="BZ181" s="86" t="inlineStr">
        <is>
          <t>Series A</t>
        </is>
      </c>
      <c r="CA181" s="87" t="inlineStr">
        <is>
          <t/>
        </is>
      </c>
      <c r="CB181" s="88" t="inlineStr">
        <is>
          <t>Venture Capital</t>
        </is>
      </c>
      <c r="CC181" s="89" t="inlineStr">
        <is>
          <t/>
        </is>
      </c>
      <c r="CD181" s="90" t="inlineStr">
        <is>
          <t/>
        </is>
      </c>
      <c r="CE181" s="91" t="inlineStr">
        <is>
          <t/>
        </is>
      </c>
      <c r="CF181" s="92" t="inlineStr">
        <is>
          <t>Completed</t>
        </is>
      </c>
      <c r="CG181" s="93" t="inlineStr">
        <is>
          <t>-2,42%</t>
        </is>
      </c>
      <c r="CH181" s="94" t="inlineStr">
        <is>
          <t>8</t>
        </is>
      </c>
      <c r="CI181" s="95" t="inlineStr">
        <is>
          <t>2,41%</t>
        </is>
      </c>
      <c r="CJ181" s="96" t="inlineStr">
        <is>
          <t>49,91%</t>
        </is>
      </c>
      <c r="CK181" s="97" t="inlineStr">
        <is>
          <t>-4,84%</t>
        </is>
      </c>
      <c r="CL181" s="98" t="inlineStr">
        <is>
          <t>8</t>
        </is>
      </c>
      <c r="CM181" s="99" t="inlineStr">
        <is>
          <t>-0,01%</t>
        </is>
      </c>
      <c r="CN181" s="100" t="inlineStr">
        <is>
          <t>18</t>
        </is>
      </c>
      <c r="CO181" s="101" t="inlineStr">
        <is>
          <t>-9,67%</t>
        </is>
      </c>
      <c r="CP181" s="102" t="inlineStr">
        <is>
          <t>13</t>
        </is>
      </c>
      <c r="CQ181" s="103" t="inlineStr">
        <is>
          <t>0,00%</t>
        </is>
      </c>
      <c r="CR181" s="104" t="inlineStr">
        <is>
          <t>20</t>
        </is>
      </c>
      <c r="CS181" s="105" t="inlineStr">
        <is>
          <t>-0,01%</t>
        </is>
      </c>
      <c r="CT181" s="106" t="inlineStr">
        <is>
          <t>16</t>
        </is>
      </c>
      <c r="CU181" s="107" t="inlineStr">
        <is>
          <t/>
        </is>
      </c>
      <c r="CV181" s="108" t="inlineStr">
        <is>
          <t/>
        </is>
      </c>
      <c r="CW181" s="109" t="inlineStr">
        <is>
          <t>5,06x</t>
        </is>
      </c>
      <c r="CX181" s="110" t="inlineStr">
        <is>
          <t>80</t>
        </is>
      </c>
      <c r="CY181" s="111" t="inlineStr">
        <is>
          <t>3,65x</t>
        </is>
      </c>
      <c r="CZ181" s="112" t="inlineStr">
        <is>
          <t>258,74%</t>
        </is>
      </c>
      <c r="DA181" s="113" t="inlineStr">
        <is>
          <t>1,43x</t>
        </is>
      </c>
      <c r="DB181" s="114" t="inlineStr">
        <is>
          <t>60</t>
        </is>
      </c>
      <c r="DC181" s="115" t="inlineStr">
        <is>
          <t>8,70x</t>
        </is>
      </c>
      <c r="DD181" s="116" t="inlineStr">
        <is>
          <t>83</t>
        </is>
      </c>
      <c r="DE181" s="117" t="inlineStr">
        <is>
          <t>2,32x</t>
        </is>
      </c>
      <c r="DF181" s="118" t="inlineStr">
        <is>
          <t>69</t>
        </is>
      </c>
      <c r="DG181" s="119" t="inlineStr">
        <is>
          <t>0,53x</t>
        </is>
      </c>
      <c r="DH181" s="120" t="inlineStr">
        <is>
          <t>37</t>
        </is>
      </c>
      <c r="DI181" s="121" t="inlineStr">
        <is>
          <t>8,70x</t>
        </is>
      </c>
      <c r="DJ181" s="122" t="inlineStr">
        <is>
          <t>80</t>
        </is>
      </c>
      <c r="DK181" s="123" t="inlineStr">
        <is>
          <t/>
        </is>
      </c>
      <c r="DL181" s="124" t="inlineStr">
        <is>
          <t/>
        </is>
      </c>
      <c r="DM181" s="125" t="inlineStr">
        <is>
          <t>855</t>
        </is>
      </c>
      <c r="DN181" s="126" t="inlineStr">
        <is>
          <t>33</t>
        </is>
      </c>
      <c r="DO181" s="127" t="inlineStr">
        <is>
          <t>4,01%</t>
        </is>
      </c>
      <c r="DP181" s="128" t="inlineStr">
        <is>
          <t>6.891</t>
        </is>
      </c>
      <c r="DQ181" s="129" t="inlineStr">
        <is>
          <t>0</t>
        </is>
      </c>
      <c r="DR181" s="130" t="inlineStr">
        <is>
          <t>0,00%</t>
        </is>
      </c>
      <c r="DS181" s="131" t="inlineStr">
        <is>
          <t>18</t>
        </is>
      </c>
      <c r="DT181" s="132" t="inlineStr">
        <is>
          <t>0</t>
        </is>
      </c>
      <c r="DU181" s="133" t="inlineStr">
        <is>
          <t>0,00%</t>
        </is>
      </c>
      <c r="DV181" s="134" t="inlineStr">
        <is>
          <t>1.417</t>
        </is>
      </c>
      <c r="DW181" s="135" t="inlineStr">
        <is>
          <t>2</t>
        </is>
      </c>
      <c r="DX181" s="136" t="inlineStr">
        <is>
          <t>0,14%</t>
        </is>
      </c>
      <c r="DY181" s="137" t="inlineStr">
        <is>
          <t>PitchBook Research</t>
        </is>
      </c>
      <c r="DZ181" s="785">
        <f>HYPERLINK("https://my.pitchbook.com?c=161554-78", "View company online")</f>
      </c>
    </row>
    <row r="182">
      <c r="A182" s="139" t="inlineStr">
        <is>
          <t>117055-45</t>
        </is>
      </c>
      <c r="B182" s="140" t="inlineStr">
        <is>
          <t>Pixelz</t>
        </is>
      </c>
      <c r="C182" s="141" t="inlineStr">
        <is>
          <t>Remove the Background</t>
        </is>
      </c>
      <c r="D182" s="142" t="inlineStr">
        <is>
          <t/>
        </is>
      </c>
      <c r="E182" s="143" t="inlineStr">
        <is>
          <t>117055-45</t>
        </is>
      </c>
      <c r="F182" s="144" t="inlineStr">
        <is>
          <t>Provider of product image post-production services for brands and internet retailers. The company's image editing software creates and edits images using professional photo studios and Web-based Photoshop, enabling e-commerce and online retailers to market their brands through product specific customized images.</t>
        </is>
      </c>
      <c r="G182" s="145" t="inlineStr">
        <is>
          <t>Information Technology</t>
        </is>
      </c>
      <c r="H182" s="146" t="inlineStr">
        <is>
          <t>Software</t>
        </is>
      </c>
      <c r="I182" s="147" t="inlineStr">
        <is>
          <t>Multimedia and Design Software</t>
        </is>
      </c>
      <c r="J182" s="148" t="inlineStr">
        <is>
          <t>Multimedia and Design Software*; Media and Information Services (B2B)</t>
        </is>
      </c>
      <c r="K182" s="149" t="inlineStr">
        <is>
          <t>E-Commerce, SaaS</t>
        </is>
      </c>
      <c r="L182" s="150" t="inlineStr">
        <is>
          <t>Accelerator/Incubator Backed</t>
        </is>
      </c>
      <c r="M182" s="151" t="n">
        <v>5.95</v>
      </c>
      <c r="N182" s="152" t="inlineStr">
        <is>
          <t>Generating Revenue</t>
        </is>
      </c>
      <c r="O182" s="153" t="inlineStr">
        <is>
          <t>Privately Held (backing)</t>
        </is>
      </c>
      <c r="P182" s="154" t="inlineStr">
        <is>
          <t>Pre-venture</t>
        </is>
      </c>
      <c r="Q182" s="155" t="inlineStr">
        <is>
          <t>www.pixelz.com</t>
        </is>
      </c>
      <c r="R182" s="156" t="n">
        <v>800.0</v>
      </c>
      <c r="S182" s="157" t="inlineStr">
        <is>
          <t/>
        </is>
      </c>
      <c r="T182" s="158" t="inlineStr">
        <is>
          <t/>
        </is>
      </c>
      <c r="U182" s="159" t="n">
        <v>2011.0</v>
      </c>
      <c r="V182" s="160" t="inlineStr">
        <is>
          <t/>
        </is>
      </c>
      <c r="W182" s="161" t="inlineStr">
        <is>
          <t/>
        </is>
      </c>
      <c r="X182" s="162" t="inlineStr">
        <is>
          <t/>
        </is>
      </c>
      <c r="Y182" s="163" t="n">
        <v>5.50182</v>
      </c>
      <c r="Z182" s="164" t="inlineStr">
        <is>
          <t/>
        </is>
      </c>
      <c r="AA182" s="165" t="inlineStr">
        <is>
          <t/>
        </is>
      </c>
      <c r="AB182" s="166" t="inlineStr">
        <is>
          <t/>
        </is>
      </c>
      <c r="AC182" s="167" t="inlineStr">
        <is>
          <t/>
        </is>
      </c>
      <c r="AD182" s="168" t="inlineStr">
        <is>
          <t>FY 2016</t>
        </is>
      </c>
      <c r="AE182" s="169" t="inlineStr">
        <is>
          <t>66607-39P</t>
        </is>
      </c>
      <c r="AF182" s="170" t="inlineStr">
        <is>
          <t>Thomas Kragelund</t>
        </is>
      </c>
      <c r="AG182" s="171" t="inlineStr">
        <is>
          <t>Co-Founder &amp; Chief Executive Officer</t>
        </is>
      </c>
      <c r="AH182" s="172" t="inlineStr">
        <is>
          <t>thomas@pixelz.com</t>
        </is>
      </c>
      <c r="AI182" s="173" t="inlineStr">
        <is>
          <t>+45 5123 1911</t>
        </is>
      </c>
      <c r="AJ182" s="174" t="inlineStr">
        <is>
          <t>Holstebro, Denmark</t>
        </is>
      </c>
      <c r="AK182" s="175" t="inlineStr">
        <is>
          <t>Nupark</t>
        </is>
      </c>
      <c r="AL182" s="176" t="inlineStr">
        <is>
          <t/>
        </is>
      </c>
      <c r="AM182" s="177" t="inlineStr">
        <is>
          <t>Holstebro</t>
        </is>
      </c>
      <c r="AN182" s="178" t="inlineStr">
        <is>
          <t/>
        </is>
      </c>
      <c r="AO182" s="179" t="inlineStr">
        <is>
          <t>7500</t>
        </is>
      </c>
      <c r="AP182" s="180" t="inlineStr">
        <is>
          <t>Denmark</t>
        </is>
      </c>
      <c r="AQ182" s="181" t="inlineStr">
        <is>
          <t/>
        </is>
      </c>
      <c r="AR182" s="182" t="inlineStr">
        <is>
          <t/>
        </is>
      </c>
      <c r="AS182" s="183" t="inlineStr">
        <is>
          <t/>
        </is>
      </c>
      <c r="AT182" s="184" t="inlineStr">
        <is>
          <t>Europe</t>
        </is>
      </c>
      <c r="AU182" s="185" t="inlineStr">
        <is>
          <t>Northern Europe</t>
        </is>
      </c>
      <c r="AV182" s="186" t="inlineStr">
        <is>
          <t>The company raised $7 million of angel funding from Anders Bjornsbo, Karsten Mathiesen and Morten Mathiesen on November 16, 2017. The company intends to use the funds for business growth beyond Europe.</t>
        </is>
      </c>
      <c r="AW182" s="187" t="inlineStr">
        <is>
          <t>Accelerace, Anders Bjornsbo, Karsten Mathiesen, Morten Mathiesen</t>
        </is>
      </c>
      <c r="AX182" s="188" t="n">
        <v>4.0</v>
      </c>
      <c r="AY182" s="189" t="inlineStr">
        <is>
          <t/>
        </is>
      </c>
      <c r="AZ182" s="190" t="inlineStr">
        <is>
          <t/>
        </is>
      </c>
      <c r="BA182" s="191" t="inlineStr">
        <is>
          <t/>
        </is>
      </c>
      <c r="BB182" s="192" t="inlineStr">
        <is>
          <t>Accelerace (www.accelerace.io)</t>
        </is>
      </c>
      <c r="BC182" s="193" t="inlineStr">
        <is>
          <t/>
        </is>
      </c>
      <c r="BD182" s="194" t="inlineStr">
        <is>
          <t/>
        </is>
      </c>
      <c r="BE182" s="195" t="inlineStr">
        <is>
          <t/>
        </is>
      </c>
      <c r="BF182" s="196" t="inlineStr">
        <is>
          <t/>
        </is>
      </c>
      <c r="BG182" s="197" t="n">
        <v>41523.0</v>
      </c>
      <c r="BH182" s="198" t="inlineStr">
        <is>
          <t/>
        </is>
      </c>
      <c r="BI182" s="199" t="inlineStr">
        <is>
          <t/>
        </is>
      </c>
      <c r="BJ182" s="200" t="inlineStr">
        <is>
          <t/>
        </is>
      </c>
      <c r="BK182" s="201" t="inlineStr">
        <is>
          <t/>
        </is>
      </c>
      <c r="BL182" s="202" t="inlineStr">
        <is>
          <t>Accelerator/Incubator</t>
        </is>
      </c>
      <c r="BM182" s="203" t="inlineStr">
        <is>
          <t/>
        </is>
      </c>
      <c r="BN182" s="204" t="inlineStr">
        <is>
          <t/>
        </is>
      </c>
      <c r="BO182" s="205" t="inlineStr">
        <is>
          <t>Other</t>
        </is>
      </c>
      <c r="BP182" s="206" t="inlineStr">
        <is>
          <t/>
        </is>
      </c>
      <c r="BQ182" s="207" t="inlineStr">
        <is>
          <t/>
        </is>
      </c>
      <c r="BR182" s="208" t="inlineStr">
        <is>
          <t/>
        </is>
      </c>
      <c r="BS182" s="209" t="inlineStr">
        <is>
          <t>Completed</t>
        </is>
      </c>
      <c r="BT182" s="210" t="n">
        <v>43055.0</v>
      </c>
      <c r="BU182" s="211" t="n">
        <v>5.95</v>
      </c>
      <c r="BV182" s="212" t="inlineStr">
        <is>
          <t>Actual</t>
        </is>
      </c>
      <c r="BW182" s="213" t="inlineStr">
        <is>
          <t/>
        </is>
      </c>
      <c r="BX182" s="214" t="inlineStr">
        <is>
          <t/>
        </is>
      </c>
      <c r="BY182" s="215" t="inlineStr">
        <is>
          <t>Angel (individual)</t>
        </is>
      </c>
      <c r="BZ182" s="216" t="inlineStr">
        <is>
          <t>Angel</t>
        </is>
      </c>
      <c r="CA182" s="217" t="inlineStr">
        <is>
          <t/>
        </is>
      </c>
      <c r="CB182" s="218" t="inlineStr">
        <is>
          <t>Individual</t>
        </is>
      </c>
      <c r="CC182" s="219" t="inlineStr">
        <is>
          <t/>
        </is>
      </c>
      <c r="CD182" s="220" t="inlineStr">
        <is>
          <t/>
        </is>
      </c>
      <c r="CE182" s="221" t="inlineStr">
        <is>
          <t/>
        </is>
      </c>
      <c r="CF182" s="222" t="inlineStr">
        <is>
          <t>Completed</t>
        </is>
      </c>
      <c r="CG182" s="223" t="inlineStr">
        <is>
          <t>-2,19%</t>
        </is>
      </c>
      <c r="CH182" s="224" t="inlineStr">
        <is>
          <t>9</t>
        </is>
      </c>
      <c r="CI182" s="225" t="inlineStr">
        <is>
          <t>-0,04%</t>
        </is>
      </c>
      <c r="CJ182" s="226" t="inlineStr">
        <is>
          <t>-1,92%</t>
        </is>
      </c>
      <c r="CK182" s="227" t="inlineStr">
        <is>
          <t>-4,51%</t>
        </is>
      </c>
      <c r="CL182" s="228" t="inlineStr">
        <is>
          <t>8</t>
        </is>
      </c>
      <c r="CM182" s="229" t="inlineStr">
        <is>
          <t>0,13%</t>
        </is>
      </c>
      <c r="CN182" s="230" t="inlineStr">
        <is>
          <t>63</t>
        </is>
      </c>
      <c r="CO182" s="231" t="inlineStr">
        <is>
          <t>-8,70%</t>
        </is>
      </c>
      <c r="CP182" s="232" t="inlineStr">
        <is>
          <t>14</t>
        </is>
      </c>
      <c r="CQ182" s="233" t="inlineStr">
        <is>
          <t>-0,31%</t>
        </is>
      </c>
      <c r="CR182" s="234" t="inlineStr">
        <is>
          <t>18</t>
        </is>
      </c>
      <c r="CS182" s="235" t="inlineStr">
        <is>
          <t>0,36%</t>
        </is>
      </c>
      <c r="CT182" s="236" t="inlineStr">
        <is>
          <t>81</t>
        </is>
      </c>
      <c r="CU182" s="237" t="inlineStr">
        <is>
          <t>-0,11%</t>
        </is>
      </c>
      <c r="CV182" s="238" t="inlineStr">
        <is>
          <t>7</t>
        </is>
      </c>
      <c r="CW182" s="239" t="inlineStr">
        <is>
          <t>20,38x</t>
        </is>
      </c>
      <c r="CX182" s="240" t="inlineStr">
        <is>
          <t>93</t>
        </is>
      </c>
      <c r="CY182" s="241" t="inlineStr">
        <is>
          <t>-0,17x</t>
        </is>
      </c>
      <c r="CZ182" s="242" t="inlineStr">
        <is>
          <t>-0,85%</t>
        </is>
      </c>
      <c r="DA182" s="243" t="inlineStr">
        <is>
          <t>33,46x</t>
        </is>
      </c>
      <c r="DB182" s="244" t="inlineStr">
        <is>
          <t>96</t>
        </is>
      </c>
      <c r="DC182" s="245" t="inlineStr">
        <is>
          <t>7,31x</t>
        </is>
      </c>
      <c r="DD182" s="246" t="inlineStr">
        <is>
          <t>81</t>
        </is>
      </c>
      <c r="DE182" s="247" t="inlineStr">
        <is>
          <t>46,42x</t>
        </is>
      </c>
      <c r="DF182" s="248" t="inlineStr">
        <is>
          <t>96</t>
        </is>
      </c>
      <c r="DG182" s="249" t="inlineStr">
        <is>
          <t>20,50x</t>
        </is>
      </c>
      <c r="DH182" s="250" t="inlineStr">
        <is>
          <t>93</t>
        </is>
      </c>
      <c r="DI182" s="251" t="inlineStr">
        <is>
          <t>2,30x</t>
        </is>
      </c>
      <c r="DJ182" s="252" t="inlineStr">
        <is>
          <t>64</t>
        </is>
      </c>
      <c r="DK182" s="253" t="inlineStr">
        <is>
          <t>12,32x</t>
        </is>
      </c>
      <c r="DL182" s="254" t="inlineStr">
        <is>
          <t>89</t>
        </is>
      </c>
      <c r="DM182" s="255" t="inlineStr">
        <is>
          <t>17.130</t>
        </is>
      </c>
      <c r="DN182" s="256" t="inlineStr">
        <is>
          <t>456</t>
        </is>
      </c>
      <c r="DO182" s="257" t="inlineStr">
        <is>
          <t>2,73%</t>
        </is>
      </c>
      <c r="DP182" s="258" t="inlineStr">
        <is>
          <t>1.818</t>
        </is>
      </c>
      <c r="DQ182" s="259" t="inlineStr">
        <is>
          <t>7</t>
        </is>
      </c>
      <c r="DR182" s="260" t="inlineStr">
        <is>
          <t>0,39%</t>
        </is>
      </c>
      <c r="DS182" s="261" t="inlineStr">
        <is>
          <t>746</t>
        </is>
      </c>
      <c r="DT182" s="262" t="inlineStr">
        <is>
          <t>-12</t>
        </is>
      </c>
      <c r="DU182" s="263" t="inlineStr">
        <is>
          <t>-1,58%</t>
        </is>
      </c>
      <c r="DV182" s="264" t="inlineStr">
        <is>
          <t>4.607</t>
        </is>
      </c>
      <c r="DW182" s="265" t="inlineStr">
        <is>
          <t>1</t>
        </is>
      </c>
      <c r="DX182" s="266" t="inlineStr">
        <is>
          <t>0,02%</t>
        </is>
      </c>
      <c r="DY182" s="267" t="inlineStr">
        <is>
          <t>PitchBook Research</t>
        </is>
      </c>
      <c r="DZ182" s="786">
        <f>HYPERLINK("https://my.pitchbook.com?c=117055-45", "View company online")</f>
      </c>
    </row>
    <row r="183">
      <c r="A183" s="9" t="inlineStr">
        <is>
          <t>120294-19</t>
        </is>
      </c>
      <c r="B183" s="10" t="inlineStr">
        <is>
          <t>Nickis.com</t>
        </is>
      </c>
      <c r="C183" s="11" t="inlineStr">
        <is>
          <t/>
        </is>
      </c>
      <c r="D183" s="12" t="inlineStr">
        <is>
          <t>Nicki's</t>
        </is>
      </c>
      <c r="E183" s="13" t="inlineStr">
        <is>
          <t>120294-19</t>
        </is>
      </c>
      <c r="F183" s="14" t="inlineStr">
        <is>
          <t>Operator of an kids clothing platform platform intended to offer designer fashion for trend-conscious boys and girls. The company's online kids clothing platform offers swimwear, shorts, blouses, sweatshirts and hoodies, trousers and pants, jeans and denims, hats and caps, sleepwear and nightwear, jackets and coats, sweaters, skirts, tracksuits and other apparel, enabling consumers to avail trendy and fashionable products at a reasonable rate.</t>
        </is>
      </c>
      <c r="G183" s="15" t="inlineStr">
        <is>
          <t>Consumer Products and Services (B2C)</t>
        </is>
      </c>
      <c r="H183" s="16" t="inlineStr">
        <is>
          <t>Apparel and Accessories</t>
        </is>
      </c>
      <c r="I183" s="17" t="inlineStr">
        <is>
          <t>Clothing</t>
        </is>
      </c>
      <c r="J183" s="18" t="inlineStr">
        <is>
          <t>Clothing*; Internet Retail</t>
        </is>
      </c>
      <c r="K183" s="19" t="inlineStr">
        <is>
          <t>E-Commerce</t>
        </is>
      </c>
      <c r="L183" s="20" t="inlineStr">
        <is>
          <t>Venture Capital-Backed</t>
        </is>
      </c>
      <c r="M183" s="21" t="n">
        <v>6.0</v>
      </c>
      <c r="N183" s="22" t="inlineStr">
        <is>
          <t>Generating Revenue</t>
        </is>
      </c>
      <c r="O183" s="23" t="inlineStr">
        <is>
          <t>Privately Held (backing)</t>
        </is>
      </c>
      <c r="P183" s="24" t="inlineStr">
        <is>
          <t>Venture Capital</t>
        </is>
      </c>
      <c r="Q183" s="25" t="inlineStr">
        <is>
          <t>nickis.com</t>
        </is>
      </c>
      <c r="R183" s="26" t="n">
        <v>30.0</v>
      </c>
      <c r="S183" s="27" t="inlineStr">
        <is>
          <t/>
        </is>
      </c>
      <c r="T183" s="28" t="inlineStr">
        <is>
          <t/>
        </is>
      </c>
      <c r="U183" s="29" t="n">
        <v>1985.0</v>
      </c>
      <c r="V183" s="30" t="inlineStr">
        <is>
          <t/>
        </is>
      </c>
      <c r="W183" s="31" t="inlineStr">
        <is>
          <t/>
        </is>
      </c>
      <c r="X183" s="32" t="inlineStr">
        <is>
          <t/>
        </is>
      </c>
      <c r="Y183" s="33" t="inlineStr">
        <is>
          <t/>
        </is>
      </c>
      <c r="Z183" s="34" t="inlineStr">
        <is>
          <t/>
        </is>
      </c>
      <c r="AA183" s="35" t="inlineStr">
        <is>
          <t/>
        </is>
      </c>
      <c r="AB183" s="36" t="inlineStr">
        <is>
          <t/>
        </is>
      </c>
      <c r="AC183" s="37" t="inlineStr">
        <is>
          <t/>
        </is>
      </c>
      <c r="AD183" s="38" t="inlineStr">
        <is>
          <t/>
        </is>
      </c>
      <c r="AE183" s="39" t="inlineStr">
        <is>
          <t>110400-85P</t>
        </is>
      </c>
      <c r="AF183" s="40" t="inlineStr">
        <is>
          <t>Stefanie Beckmann</t>
        </is>
      </c>
      <c r="AG183" s="41" t="inlineStr">
        <is>
          <t>CPO &amp; Co-Founder</t>
        </is>
      </c>
      <c r="AH183" s="42" t="inlineStr">
        <is>
          <t>sb@nickis.com</t>
        </is>
      </c>
      <c r="AI183" s="43" t="inlineStr">
        <is>
          <t>+49 (0)80 2226 960</t>
        </is>
      </c>
      <c r="AJ183" s="44" t="inlineStr">
        <is>
          <t>Tegernsee, Germany</t>
        </is>
      </c>
      <c r="AK183" s="45" t="inlineStr">
        <is>
          <t>Seestraße 5</t>
        </is>
      </c>
      <c r="AL183" s="46" t="inlineStr">
        <is>
          <t>Rottach-Egern am</t>
        </is>
      </c>
      <c r="AM183" s="47" t="inlineStr">
        <is>
          <t>Tegernsee</t>
        </is>
      </c>
      <c r="AN183" s="48" t="inlineStr">
        <is>
          <t/>
        </is>
      </c>
      <c r="AO183" s="49" t="inlineStr">
        <is>
          <t>83700</t>
        </is>
      </c>
      <c r="AP183" s="50" t="inlineStr">
        <is>
          <t>Germany</t>
        </is>
      </c>
      <c r="AQ183" s="51" t="inlineStr">
        <is>
          <t>+49 (0)80 2226 960</t>
        </is>
      </c>
      <c r="AR183" s="52" t="inlineStr">
        <is>
          <t/>
        </is>
      </c>
      <c r="AS183" s="53" t="inlineStr">
        <is>
          <t>info@nickis.com</t>
        </is>
      </c>
      <c r="AT183" s="54" t="inlineStr">
        <is>
          <t>Europe</t>
        </is>
      </c>
      <c r="AU183" s="55" t="inlineStr">
        <is>
          <t>Western Europe</t>
        </is>
      </c>
      <c r="AV183" s="56" t="inlineStr">
        <is>
          <t>The company raised EUR 6 million of venture funding in a round led by Ataraxy Ventures on OCtober 26, 2017. Other undisclosed existing investors also participated in this round. The company plans to use this capital boost to extend its market leadership even more widely across Germany, Austria and Switzerland, as well as to promote international expansion.</t>
        </is>
      </c>
      <c r="AW183" s="57" t="inlineStr">
        <is>
          <t>Ataraxy Ventures, EMH Partners</t>
        </is>
      </c>
      <c r="AX183" s="58" t="n">
        <v>2.0</v>
      </c>
      <c r="AY183" s="59" t="inlineStr">
        <is>
          <t/>
        </is>
      </c>
      <c r="AZ183" s="60" t="inlineStr">
        <is>
          <t/>
        </is>
      </c>
      <c r="BA183" s="61" t="inlineStr">
        <is>
          <t/>
        </is>
      </c>
      <c r="BB183" s="62" t="inlineStr">
        <is>
          <t>Ataraxy Ventures (www.ataraxyventures.com), EMH Partners (www.emh.com)</t>
        </is>
      </c>
      <c r="BC183" s="63" t="inlineStr">
        <is>
          <t/>
        </is>
      </c>
      <c r="BD183" s="64" t="inlineStr">
        <is>
          <t/>
        </is>
      </c>
      <c r="BE183" s="65" t="inlineStr">
        <is>
          <t/>
        </is>
      </c>
      <c r="BF183" s="66" t="inlineStr">
        <is>
          <t/>
        </is>
      </c>
      <c r="BG183" s="67" t="n">
        <v>42095.0</v>
      </c>
      <c r="BH183" s="68" t="inlineStr">
        <is>
          <t/>
        </is>
      </c>
      <c r="BI183" s="69" t="inlineStr">
        <is>
          <t/>
        </is>
      </c>
      <c r="BJ183" s="70" t="inlineStr">
        <is>
          <t/>
        </is>
      </c>
      <c r="BK183" s="71" t="inlineStr">
        <is>
          <t/>
        </is>
      </c>
      <c r="BL183" s="72" t="inlineStr">
        <is>
          <t>Early Stage VC</t>
        </is>
      </c>
      <c r="BM183" s="73" t="inlineStr">
        <is>
          <t/>
        </is>
      </c>
      <c r="BN183" s="74" t="inlineStr">
        <is>
          <t/>
        </is>
      </c>
      <c r="BO183" s="75" t="inlineStr">
        <is>
          <t>Venture Capital</t>
        </is>
      </c>
      <c r="BP183" s="76" t="inlineStr">
        <is>
          <t/>
        </is>
      </c>
      <c r="BQ183" s="77" t="inlineStr">
        <is>
          <t/>
        </is>
      </c>
      <c r="BR183" s="78" t="inlineStr">
        <is>
          <t/>
        </is>
      </c>
      <c r="BS183" s="79" t="inlineStr">
        <is>
          <t>Completed</t>
        </is>
      </c>
      <c r="BT183" s="80" t="n">
        <v>43034.0</v>
      </c>
      <c r="BU183" s="81" t="n">
        <v>6.0</v>
      </c>
      <c r="BV183" s="82" t="inlineStr">
        <is>
          <t>Actual</t>
        </is>
      </c>
      <c r="BW183" s="83" t="inlineStr">
        <is>
          <t/>
        </is>
      </c>
      <c r="BX183" s="84" t="inlineStr">
        <is>
          <t/>
        </is>
      </c>
      <c r="BY183" s="85" t="inlineStr">
        <is>
          <t>Early Stage VC</t>
        </is>
      </c>
      <c r="BZ183" s="86" t="inlineStr">
        <is>
          <t>Series B</t>
        </is>
      </c>
      <c r="CA183" s="87" t="inlineStr">
        <is>
          <t/>
        </is>
      </c>
      <c r="CB183" s="88" t="inlineStr">
        <is>
          <t>Venture Capital</t>
        </is>
      </c>
      <c r="CC183" s="89" t="inlineStr">
        <is>
          <t/>
        </is>
      </c>
      <c r="CD183" s="90" t="inlineStr">
        <is>
          <t/>
        </is>
      </c>
      <c r="CE183" s="91" t="inlineStr">
        <is>
          <t/>
        </is>
      </c>
      <c r="CF183" s="92" t="inlineStr">
        <is>
          <t>Completed</t>
        </is>
      </c>
      <c r="CG183" s="93" t="inlineStr">
        <is>
          <t>-4,62%</t>
        </is>
      </c>
      <c r="CH183" s="94" t="inlineStr">
        <is>
          <t>4</t>
        </is>
      </c>
      <c r="CI183" s="95" t="inlineStr">
        <is>
          <t>0,34%</t>
        </is>
      </c>
      <c r="CJ183" s="96" t="inlineStr">
        <is>
          <t>6,78%</t>
        </is>
      </c>
      <c r="CK183" s="97" t="inlineStr">
        <is>
          <t>-12,03%</t>
        </is>
      </c>
      <c r="CL183" s="98" t="inlineStr">
        <is>
          <t>2</t>
        </is>
      </c>
      <c r="CM183" s="99" t="inlineStr">
        <is>
          <t>2,78%</t>
        </is>
      </c>
      <c r="CN183" s="100" t="inlineStr">
        <is>
          <t>99</t>
        </is>
      </c>
      <c r="CO183" s="101" t="inlineStr">
        <is>
          <t>-25,52%</t>
        </is>
      </c>
      <c r="CP183" s="102" t="inlineStr">
        <is>
          <t>3</t>
        </is>
      </c>
      <c r="CQ183" s="103" t="inlineStr">
        <is>
          <t>1,47%</t>
        </is>
      </c>
      <c r="CR183" s="104" t="inlineStr">
        <is>
          <t>94</t>
        </is>
      </c>
      <c r="CS183" s="105" t="inlineStr">
        <is>
          <t>2,78%</t>
        </is>
      </c>
      <c r="CT183" s="106" t="inlineStr">
        <is>
          <t>99</t>
        </is>
      </c>
      <c r="CU183" s="107" t="inlineStr">
        <is>
          <t/>
        </is>
      </c>
      <c r="CV183" s="108" t="inlineStr">
        <is>
          <t/>
        </is>
      </c>
      <c r="CW183" s="109" t="inlineStr">
        <is>
          <t>35,43x</t>
        </is>
      </c>
      <c r="CX183" s="110" t="inlineStr">
        <is>
          <t>95</t>
        </is>
      </c>
      <c r="CY183" s="111" t="inlineStr">
        <is>
          <t>2,19x</t>
        </is>
      </c>
      <c r="CZ183" s="112" t="inlineStr">
        <is>
          <t>6,58%</t>
        </is>
      </c>
      <c r="DA183" s="113" t="inlineStr">
        <is>
          <t>11,79x</t>
        </is>
      </c>
      <c r="DB183" s="114" t="inlineStr">
        <is>
          <t>91</t>
        </is>
      </c>
      <c r="DC183" s="115" t="inlineStr">
        <is>
          <t>59,08x</t>
        </is>
      </c>
      <c r="DD183" s="116" t="inlineStr">
        <is>
          <t>95</t>
        </is>
      </c>
      <c r="DE183" s="117" t="inlineStr">
        <is>
          <t>1,19x</t>
        </is>
      </c>
      <c r="DF183" s="118" t="inlineStr">
        <is>
          <t>55</t>
        </is>
      </c>
      <c r="DG183" s="119" t="inlineStr">
        <is>
          <t>22,39x</t>
        </is>
      </c>
      <c r="DH183" s="120" t="inlineStr">
        <is>
          <t>94</t>
        </is>
      </c>
      <c r="DI183" s="121" t="inlineStr">
        <is>
          <t>59,08x</t>
        </is>
      </c>
      <c r="DJ183" s="122" t="inlineStr">
        <is>
          <t>93</t>
        </is>
      </c>
      <c r="DK183" s="123" t="inlineStr">
        <is>
          <t/>
        </is>
      </c>
      <c r="DL183" s="124" t="inlineStr">
        <is>
          <t/>
        </is>
      </c>
      <c r="DM183" s="125" t="inlineStr">
        <is>
          <t>431</t>
        </is>
      </c>
      <c r="DN183" s="126" t="inlineStr">
        <is>
          <t>42</t>
        </is>
      </c>
      <c r="DO183" s="127" t="inlineStr">
        <is>
          <t>10,80%</t>
        </is>
      </c>
      <c r="DP183" s="128" t="inlineStr">
        <is>
          <t>45.192</t>
        </is>
      </c>
      <c r="DQ183" s="129" t="inlineStr">
        <is>
          <t>4.205</t>
        </is>
      </c>
      <c r="DR183" s="130" t="inlineStr">
        <is>
          <t>10,26%</t>
        </is>
      </c>
      <c r="DS183" s="131" t="inlineStr">
        <is>
          <t>811</t>
        </is>
      </c>
      <c r="DT183" s="132" t="inlineStr">
        <is>
          <t>-1</t>
        </is>
      </c>
      <c r="DU183" s="133" t="inlineStr">
        <is>
          <t>-0,12%</t>
        </is>
      </c>
      <c r="DV183" s="134" t="inlineStr">
        <is>
          <t/>
        </is>
      </c>
      <c r="DW183" s="135" t="inlineStr">
        <is>
          <t/>
        </is>
      </c>
      <c r="DX183" s="136" t="inlineStr">
        <is>
          <t/>
        </is>
      </c>
      <c r="DY183" s="137" t="inlineStr">
        <is>
          <t>PitchBook Research</t>
        </is>
      </c>
      <c r="DZ183" s="785">
        <f>HYPERLINK("https://my.pitchbook.com?c=120294-19", "View company online")</f>
      </c>
    </row>
    <row r="184">
      <c r="A184" s="139" t="inlineStr">
        <is>
          <t>125668-27</t>
        </is>
      </c>
      <c r="B184" s="140" t="inlineStr">
        <is>
          <t>Tanker</t>
        </is>
      </c>
      <c r="C184" s="141" t="inlineStr">
        <is>
          <t/>
        </is>
      </c>
      <c r="D184" s="142" t="inlineStr">
        <is>
          <t/>
        </is>
      </c>
      <c r="E184" s="143" t="inlineStr">
        <is>
          <t>125668-27</t>
        </is>
      </c>
      <c r="F184" s="144" t="inlineStr">
        <is>
          <t>Provider of Encryption as a Service platform for SaaS and cloud applications. The company's end-to-end encryption technology is implemented directly in the code of SaaS applications and it offers a tamper-proof infrastructure that allows all documents to be encrypted and signed with a unique set of keys generated and securely stored on each device, enabling software developers and publishers to add collaborative end-to-end encryption in a few lines of code.</t>
        </is>
      </c>
      <c r="G184" s="145" t="inlineStr">
        <is>
          <t>Information Technology</t>
        </is>
      </c>
      <c r="H184" s="146" t="inlineStr">
        <is>
          <t>Software</t>
        </is>
      </c>
      <c r="I184" s="147" t="inlineStr">
        <is>
          <t>Business/Productivity Software</t>
        </is>
      </c>
      <c r="J184" s="148" t="inlineStr">
        <is>
          <t>Business/Productivity Software*; Systems and Information Management</t>
        </is>
      </c>
      <c r="K184" s="149" t="inlineStr">
        <is>
          <t>SaaS</t>
        </is>
      </c>
      <c r="L184" s="150" t="inlineStr">
        <is>
          <t>Venture Capital-Backed</t>
        </is>
      </c>
      <c r="M184" s="151" t="n">
        <v>6.0</v>
      </c>
      <c r="N184" s="152" t="inlineStr">
        <is>
          <t>Generating Revenue</t>
        </is>
      </c>
      <c r="O184" s="153" t="inlineStr">
        <is>
          <t>Privately Held (backing)</t>
        </is>
      </c>
      <c r="P184" s="154" t="inlineStr">
        <is>
          <t>Venture Capital</t>
        </is>
      </c>
      <c r="Q184" s="155" t="inlineStr">
        <is>
          <t>www.tanker.io</t>
        </is>
      </c>
      <c r="R184" s="156" t="n">
        <v>16.0</v>
      </c>
      <c r="S184" s="157" t="inlineStr">
        <is>
          <t/>
        </is>
      </c>
      <c r="T184" s="158" t="inlineStr">
        <is>
          <t/>
        </is>
      </c>
      <c r="U184" s="159" t="n">
        <v>2015.0</v>
      </c>
      <c r="V184" s="160" t="inlineStr">
        <is>
          <t/>
        </is>
      </c>
      <c r="W184" s="161" t="inlineStr">
        <is>
          <t/>
        </is>
      </c>
      <c r="X184" s="162" t="inlineStr">
        <is>
          <t/>
        </is>
      </c>
      <c r="Y184" s="163" t="n">
        <v>0.9525</v>
      </c>
      <c r="Z184" s="164" t="inlineStr">
        <is>
          <t/>
        </is>
      </c>
      <c r="AA184" s="165" t="inlineStr">
        <is>
          <t/>
        </is>
      </c>
      <c r="AB184" s="166" t="inlineStr">
        <is>
          <t/>
        </is>
      </c>
      <c r="AC184" s="167" t="inlineStr">
        <is>
          <t/>
        </is>
      </c>
      <c r="AD184" s="168" t="inlineStr">
        <is>
          <t>FY 2017</t>
        </is>
      </c>
      <c r="AE184" s="169" t="inlineStr">
        <is>
          <t>119262-79P</t>
        </is>
      </c>
      <c r="AF184" s="170" t="inlineStr">
        <is>
          <t>Guillaume Pontallier</t>
        </is>
      </c>
      <c r="AG184" s="171" t="inlineStr">
        <is>
          <t>Co-Founder &amp; Chief Executive Officer</t>
        </is>
      </c>
      <c r="AH184" s="172" t="inlineStr">
        <is>
          <t>guillaume.pontallier@tanker.io</t>
        </is>
      </c>
      <c r="AI184" s="173" t="inlineStr">
        <is>
          <t/>
        </is>
      </c>
      <c r="AJ184" s="174" t="inlineStr">
        <is>
          <t>Paris, France</t>
        </is>
      </c>
      <c r="AK184" s="175" t="inlineStr">
        <is>
          <t/>
        </is>
      </c>
      <c r="AL184" s="176" t="inlineStr">
        <is>
          <t/>
        </is>
      </c>
      <c r="AM184" s="177" t="inlineStr">
        <is>
          <t>Paris</t>
        </is>
      </c>
      <c r="AN184" s="178" t="inlineStr">
        <is>
          <t/>
        </is>
      </c>
      <c r="AO184" s="179" t="inlineStr">
        <is>
          <t/>
        </is>
      </c>
      <c r="AP184" s="180" t="inlineStr">
        <is>
          <t>France</t>
        </is>
      </c>
      <c r="AQ184" s="181" t="inlineStr">
        <is>
          <t/>
        </is>
      </c>
      <c r="AR184" s="182" t="inlineStr">
        <is>
          <t/>
        </is>
      </c>
      <c r="AS184" s="183" t="inlineStr">
        <is>
          <t/>
        </is>
      </c>
      <c r="AT184" s="184" t="inlineStr">
        <is>
          <t>Europe</t>
        </is>
      </c>
      <c r="AU184" s="185" t="inlineStr">
        <is>
          <t>Western Europe</t>
        </is>
      </c>
      <c r="AV184" s="186" t="inlineStr">
        <is>
          <t>The company raised EUR 6 million of venture funding from AXA Strategic Ventures, Idinvest Partners and Kima Ventures on September 14, 2017. The company plans to use the funds to enhance technical skills by the end of 2018 and speed up its international growth, particularly in the United States.</t>
        </is>
      </c>
      <c r="AW184" s="187" t="inlineStr">
        <is>
          <t>Agoranov, Allianz Capital Partners, AXA Strategic Ventures, EIT Digital, IdInvest Partners, Kima Ventures</t>
        </is>
      </c>
      <c r="AX184" s="188" t="n">
        <v>6.0</v>
      </c>
      <c r="AY184" s="189" t="inlineStr">
        <is>
          <t/>
        </is>
      </c>
      <c r="AZ184" s="190" t="inlineStr">
        <is>
          <t/>
        </is>
      </c>
      <c r="BA184" s="191" t="inlineStr">
        <is>
          <t/>
        </is>
      </c>
      <c r="BB184" s="192" t="inlineStr">
        <is>
          <t>Agoranov (www.agoranov.com), Allianz Capital Partners (www.allianzcapitalpartners.com), AXA Strategic Ventures (www.axastrategicventures.com), EIT Digital (www.eitdigital.eu), IdInvest Partners (www.idinvest.com), Kima Ventures (www.kimaventures.com)</t>
        </is>
      </c>
      <c r="BC184" s="193" t="inlineStr">
        <is>
          <t/>
        </is>
      </c>
      <c r="BD184" s="194" t="inlineStr">
        <is>
          <t/>
        </is>
      </c>
      <c r="BE184" s="195" t="inlineStr">
        <is>
          <t/>
        </is>
      </c>
      <c r="BF184" s="196" t="inlineStr">
        <is>
          <t/>
        </is>
      </c>
      <c r="BG184" s="197" t="n">
        <v>42254.0</v>
      </c>
      <c r="BH184" s="198" t="inlineStr">
        <is>
          <t/>
        </is>
      </c>
      <c r="BI184" s="199" t="inlineStr">
        <is>
          <t/>
        </is>
      </c>
      <c r="BJ184" s="200" t="inlineStr">
        <is>
          <t/>
        </is>
      </c>
      <c r="BK184" s="201" t="inlineStr">
        <is>
          <t/>
        </is>
      </c>
      <c r="BL184" s="202" t="inlineStr">
        <is>
          <t>Accelerator/Incubator</t>
        </is>
      </c>
      <c r="BM184" s="203" t="inlineStr">
        <is>
          <t/>
        </is>
      </c>
      <c r="BN184" s="204" t="inlineStr">
        <is>
          <t/>
        </is>
      </c>
      <c r="BO184" s="205" t="inlineStr">
        <is>
          <t>Other</t>
        </is>
      </c>
      <c r="BP184" s="206" t="inlineStr">
        <is>
          <t/>
        </is>
      </c>
      <c r="BQ184" s="207" t="inlineStr">
        <is>
          <t/>
        </is>
      </c>
      <c r="BR184" s="208" t="inlineStr">
        <is>
          <t/>
        </is>
      </c>
      <c r="BS184" s="209" t="inlineStr">
        <is>
          <t>Completed</t>
        </is>
      </c>
      <c r="BT184" s="210" t="n">
        <v>42992.0</v>
      </c>
      <c r="BU184" s="211" t="n">
        <v>6.0</v>
      </c>
      <c r="BV184" s="212" t="inlineStr">
        <is>
          <t>Actual</t>
        </is>
      </c>
      <c r="BW184" s="213" t="inlineStr">
        <is>
          <t/>
        </is>
      </c>
      <c r="BX184" s="214" t="inlineStr">
        <is>
          <t/>
        </is>
      </c>
      <c r="BY184" s="215" t="inlineStr">
        <is>
          <t>Early Stage VC</t>
        </is>
      </c>
      <c r="BZ184" s="216" t="inlineStr">
        <is>
          <t/>
        </is>
      </c>
      <c r="CA184" s="217" t="inlineStr">
        <is>
          <t/>
        </is>
      </c>
      <c r="CB184" s="218" t="inlineStr">
        <is>
          <t>Venture Capital</t>
        </is>
      </c>
      <c r="CC184" s="219" t="inlineStr">
        <is>
          <t/>
        </is>
      </c>
      <c r="CD184" s="220" t="inlineStr">
        <is>
          <t/>
        </is>
      </c>
      <c r="CE184" s="221" t="inlineStr">
        <is>
          <t/>
        </is>
      </c>
      <c r="CF184" s="222" t="inlineStr">
        <is>
          <t>Completed</t>
        </is>
      </c>
      <c r="CG184" s="223" t="inlineStr">
        <is>
          <t>-5,02%</t>
        </is>
      </c>
      <c r="CH184" s="224" t="inlineStr">
        <is>
          <t>4</t>
        </is>
      </c>
      <c r="CI184" s="225" t="inlineStr">
        <is>
          <t>0,00%</t>
        </is>
      </c>
      <c r="CJ184" s="226" t="inlineStr">
        <is>
          <t>0,00%</t>
        </is>
      </c>
      <c r="CK184" s="227" t="inlineStr">
        <is>
          <t>-5,02%</t>
        </is>
      </c>
      <c r="CL184" s="228" t="inlineStr">
        <is>
          <t>8</t>
        </is>
      </c>
      <c r="CM184" s="229" t="inlineStr">
        <is>
          <t/>
        </is>
      </c>
      <c r="CN184" s="230" t="inlineStr">
        <is>
          <t/>
        </is>
      </c>
      <c r="CO184" s="231" t="inlineStr">
        <is>
          <t>-10,05%</t>
        </is>
      </c>
      <c r="CP184" s="232" t="inlineStr">
        <is>
          <t>13</t>
        </is>
      </c>
      <c r="CQ184" s="233" t="inlineStr">
        <is>
          <t>0,00%</t>
        </is>
      </c>
      <c r="CR184" s="234" t="inlineStr">
        <is>
          <t>20</t>
        </is>
      </c>
      <c r="CS184" s="235" t="inlineStr">
        <is>
          <t/>
        </is>
      </c>
      <c r="CT184" s="236" t="inlineStr">
        <is>
          <t/>
        </is>
      </c>
      <c r="CU184" s="237" t="inlineStr">
        <is>
          <t/>
        </is>
      </c>
      <c r="CV184" s="238" t="inlineStr">
        <is>
          <t/>
        </is>
      </c>
      <c r="CW184" s="239" t="inlineStr">
        <is>
          <t>1,35x</t>
        </is>
      </c>
      <c r="CX184" s="240" t="inlineStr">
        <is>
          <t>56</t>
        </is>
      </c>
      <c r="CY184" s="241" t="inlineStr">
        <is>
          <t>0,00x</t>
        </is>
      </c>
      <c r="CZ184" s="242" t="inlineStr">
        <is>
          <t>0,00%</t>
        </is>
      </c>
      <c r="DA184" s="243" t="inlineStr">
        <is>
          <t>1,35x</t>
        </is>
      </c>
      <c r="DB184" s="244" t="inlineStr">
        <is>
          <t>58</t>
        </is>
      </c>
      <c r="DC184" s="245" t="inlineStr">
        <is>
          <t/>
        </is>
      </c>
      <c r="DD184" s="246" t="inlineStr">
        <is>
          <t/>
        </is>
      </c>
      <c r="DE184" s="247" t="inlineStr">
        <is>
          <t>1,59x</t>
        </is>
      </c>
      <c r="DF184" s="248" t="inlineStr">
        <is>
          <t>61</t>
        </is>
      </c>
      <c r="DG184" s="249" t="inlineStr">
        <is>
          <t>1,11x</t>
        </is>
      </c>
      <c r="DH184" s="250" t="inlineStr">
        <is>
          <t>53</t>
        </is>
      </c>
      <c r="DI184" s="251" t="inlineStr">
        <is>
          <t/>
        </is>
      </c>
      <c r="DJ184" s="252" t="inlineStr">
        <is>
          <t/>
        </is>
      </c>
      <c r="DK184" s="253" t="inlineStr">
        <is>
          <t/>
        </is>
      </c>
      <c r="DL184" s="254" t="inlineStr">
        <is>
          <t/>
        </is>
      </c>
      <c r="DM184" s="255" t="inlineStr">
        <is>
          <t>578</t>
        </is>
      </c>
      <c r="DN184" s="256" t="inlineStr">
        <is>
          <t>61</t>
        </is>
      </c>
      <c r="DO184" s="257" t="inlineStr">
        <is>
          <t>11,80%</t>
        </is>
      </c>
      <c r="DP184" s="258" t="inlineStr">
        <is>
          <t/>
        </is>
      </c>
      <c r="DQ184" s="259" t="inlineStr">
        <is>
          <t/>
        </is>
      </c>
      <c r="DR184" s="260" t="inlineStr">
        <is>
          <t/>
        </is>
      </c>
      <c r="DS184" s="261" t="inlineStr">
        <is>
          <t>40</t>
        </is>
      </c>
      <c r="DT184" s="262" t="inlineStr">
        <is>
          <t>0</t>
        </is>
      </c>
      <c r="DU184" s="263" t="inlineStr">
        <is>
          <t>0,00%</t>
        </is>
      </c>
      <c r="DV184" s="264" t="inlineStr">
        <is>
          <t/>
        </is>
      </c>
      <c r="DW184" s="265" t="inlineStr">
        <is>
          <t/>
        </is>
      </c>
      <c r="DX184" s="266" t="inlineStr">
        <is>
          <t/>
        </is>
      </c>
      <c r="DY184" s="267" t="inlineStr">
        <is>
          <t>PitchBook Research</t>
        </is>
      </c>
      <c r="DZ184" s="786">
        <f>HYPERLINK("https://my.pitchbook.com?c=125668-27", "View company online")</f>
      </c>
    </row>
    <row r="185">
      <c r="A185" s="9" t="inlineStr">
        <is>
          <t>105780-52</t>
        </is>
      </c>
      <c r="B185" s="10" t="inlineStr">
        <is>
          <t>Pointy</t>
        </is>
      </c>
      <c r="C185" s="11" t="inlineStr">
        <is>
          <t/>
        </is>
      </c>
      <c r="D185" s="12" t="inlineStr">
        <is>
          <t/>
        </is>
      </c>
      <c r="E185" s="13" t="inlineStr">
        <is>
          <t>105780-52</t>
        </is>
      </c>
      <c r="F185" s="14" t="inlineStr">
        <is>
          <t>Provider of local shop tracking services designed to automatically display products online. The company's local shop tracking services develops a hardware box that connects to a POS or cash register system and instantly creates a product page online for items scanned through its system, enabling online seller find more customers for their products and shoppers find more products for sale in their local area.</t>
        </is>
      </c>
      <c r="G185" s="15" t="inlineStr">
        <is>
          <t>Information Technology</t>
        </is>
      </c>
      <c r="H185" s="16" t="inlineStr">
        <is>
          <t>Software</t>
        </is>
      </c>
      <c r="I185" s="17" t="inlineStr">
        <is>
          <t>Automation/Workflow Software</t>
        </is>
      </c>
      <c r="J185" s="18" t="inlineStr">
        <is>
          <t>Automation/Workflow Software*; Computers, Parts and Peripherals; Business/Productivity Software</t>
        </is>
      </c>
      <c r="K185" s="19" t="inlineStr">
        <is>
          <t>E-Commerce</t>
        </is>
      </c>
      <c r="L185" s="20" t="inlineStr">
        <is>
          <t>Venture Capital-Backed</t>
        </is>
      </c>
      <c r="M185" s="21" t="n">
        <v>6.13</v>
      </c>
      <c r="N185" s="22" t="inlineStr">
        <is>
          <t>Generating Revenue</t>
        </is>
      </c>
      <c r="O185" s="23" t="inlineStr">
        <is>
          <t>Privately Held (backing)</t>
        </is>
      </c>
      <c r="P185" s="24" t="inlineStr">
        <is>
          <t>Venture Capital</t>
        </is>
      </c>
      <c r="Q185" s="25" t="inlineStr">
        <is>
          <t>www.pointy.com</t>
        </is>
      </c>
      <c r="R185" s="26" t="n">
        <v>5.0</v>
      </c>
      <c r="S185" s="27" t="inlineStr">
        <is>
          <t/>
        </is>
      </c>
      <c r="T185" s="28" t="inlineStr">
        <is>
          <t/>
        </is>
      </c>
      <c r="U185" s="29" t="n">
        <v>2014.0</v>
      </c>
      <c r="V185" s="30" t="inlineStr">
        <is>
          <t/>
        </is>
      </c>
      <c r="W185" s="31" t="inlineStr">
        <is>
          <t/>
        </is>
      </c>
      <c r="X185" s="32" t="inlineStr">
        <is>
          <t/>
        </is>
      </c>
      <c r="Y185" s="33" t="inlineStr">
        <is>
          <t/>
        </is>
      </c>
      <c r="Z185" s="34" t="inlineStr">
        <is>
          <t/>
        </is>
      </c>
      <c r="AA185" s="35" t="inlineStr">
        <is>
          <t/>
        </is>
      </c>
      <c r="AB185" s="36" t="inlineStr">
        <is>
          <t/>
        </is>
      </c>
      <c r="AC185" s="37" t="inlineStr">
        <is>
          <t/>
        </is>
      </c>
      <c r="AD185" s="38" t="inlineStr">
        <is>
          <t/>
        </is>
      </c>
      <c r="AE185" s="39" t="inlineStr">
        <is>
          <t>88378-84P</t>
        </is>
      </c>
      <c r="AF185" s="40" t="inlineStr">
        <is>
          <t>Mark Cummins</t>
        </is>
      </c>
      <c r="AG185" s="41" t="inlineStr">
        <is>
          <t>Co-Founder, Chief Executive Officer &amp; Board Member</t>
        </is>
      </c>
      <c r="AH185" s="42" t="inlineStr">
        <is>
          <t>mark@pointy.com</t>
        </is>
      </c>
      <c r="AI185" s="43" t="inlineStr">
        <is>
          <t/>
        </is>
      </c>
      <c r="AJ185" s="44" t="inlineStr">
        <is>
          <t>Dublin, Ireland</t>
        </is>
      </c>
      <c r="AK185" s="45" t="inlineStr">
        <is>
          <t>NCI Business Centre</t>
        </is>
      </c>
      <c r="AL185" s="46" t="inlineStr">
        <is>
          <t>Mayor Street</t>
        </is>
      </c>
      <c r="AM185" s="47" t="inlineStr">
        <is>
          <t>Dublin</t>
        </is>
      </c>
      <c r="AN185" s="48" t="inlineStr">
        <is>
          <t/>
        </is>
      </c>
      <c r="AO185" s="49" t="inlineStr">
        <is>
          <t>D01 K7W8</t>
        </is>
      </c>
      <c r="AP185" s="50" t="inlineStr">
        <is>
          <t>Ireland</t>
        </is>
      </c>
      <c r="AQ185" s="51" t="inlineStr">
        <is>
          <t/>
        </is>
      </c>
      <c r="AR185" s="52" t="inlineStr">
        <is>
          <t/>
        </is>
      </c>
      <c r="AS185" s="53" t="inlineStr">
        <is>
          <t>info@pointy.com</t>
        </is>
      </c>
      <c r="AT185" s="54" t="inlineStr">
        <is>
          <t>Europe</t>
        </is>
      </c>
      <c r="AU185" s="55" t="inlineStr">
        <is>
          <t>Western Europe</t>
        </is>
      </c>
      <c r="AV185" s="56" t="inlineStr">
        <is>
          <t>The company raised $6 million of Series A venture funding led by Frontline Ventures on September 21, 2017. Vulcan Capital, Draper Associates, Matt Mullenweg, Lars Rasmussen, Taavet Hinrikus and Michael Birch also participated in the round.</t>
        </is>
      </c>
      <c r="AW185" s="57" t="inlineStr">
        <is>
          <t>Draper Associates, Frontline Ventures, Lars Rasmussen, LocalGlobe, Matt Mullenweg, Michael Birch, Seedcamp, Taavet Hinrikus, Vulcan Capital</t>
        </is>
      </c>
      <c r="AX185" s="58" t="n">
        <v>9.0</v>
      </c>
      <c r="AY185" s="59" t="inlineStr">
        <is>
          <t/>
        </is>
      </c>
      <c r="AZ185" s="60" t="inlineStr">
        <is>
          <t/>
        </is>
      </c>
      <c r="BA185" s="61" t="inlineStr">
        <is>
          <t/>
        </is>
      </c>
      <c r="BB185" s="62" t="inlineStr">
        <is>
          <t>Draper Associates (www.draper.vc), Frontline Ventures (www.frontline.vc), LocalGlobe (www.localglobe.vc), Matt Mullenweg (ma.tt), Seedcamp (www.seedcamp.com), Vulcan Capital (capital.vulcan.com)</t>
        </is>
      </c>
      <c r="BC185" s="63" t="inlineStr">
        <is>
          <t/>
        </is>
      </c>
      <c r="BD185" s="64" t="inlineStr">
        <is>
          <t/>
        </is>
      </c>
      <c r="BE185" s="65" t="inlineStr">
        <is>
          <t/>
        </is>
      </c>
      <c r="BF185" s="66" t="inlineStr">
        <is>
          <t/>
        </is>
      </c>
      <c r="BG185" s="67" t="inlineStr">
        <is>
          <t/>
        </is>
      </c>
      <c r="BH185" s="68" t="inlineStr">
        <is>
          <t/>
        </is>
      </c>
      <c r="BI185" s="69" t="inlineStr">
        <is>
          <t/>
        </is>
      </c>
      <c r="BJ185" s="70" t="inlineStr">
        <is>
          <t/>
        </is>
      </c>
      <c r="BK185" s="71" t="inlineStr">
        <is>
          <t/>
        </is>
      </c>
      <c r="BL185" s="72" t="inlineStr">
        <is>
          <t>Early Stage VC</t>
        </is>
      </c>
      <c r="BM185" s="73" t="inlineStr">
        <is>
          <t/>
        </is>
      </c>
      <c r="BN185" s="74" t="inlineStr">
        <is>
          <t/>
        </is>
      </c>
      <c r="BO185" s="75" t="inlineStr">
        <is>
          <t>Venture Capital</t>
        </is>
      </c>
      <c r="BP185" s="76" t="inlineStr">
        <is>
          <t/>
        </is>
      </c>
      <c r="BQ185" s="77" t="inlineStr">
        <is>
          <t/>
        </is>
      </c>
      <c r="BR185" s="78" t="inlineStr">
        <is>
          <t/>
        </is>
      </c>
      <c r="BS185" s="79" t="inlineStr">
        <is>
          <t>Completed</t>
        </is>
      </c>
      <c r="BT185" s="80" t="n">
        <v>42999.0</v>
      </c>
      <c r="BU185" s="81" t="n">
        <v>5.03</v>
      </c>
      <c r="BV185" s="82" t="inlineStr">
        <is>
          <t>Actual</t>
        </is>
      </c>
      <c r="BW185" s="83" t="inlineStr">
        <is>
          <t/>
        </is>
      </c>
      <c r="BX185" s="84" t="inlineStr">
        <is>
          <t/>
        </is>
      </c>
      <c r="BY185" s="85" t="inlineStr">
        <is>
          <t>Early Stage VC</t>
        </is>
      </c>
      <c r="BZ185" s="86" t="inlineStr">
        <is>
          <t>Series A</t>
        </is>
      </c>
      <c r="CA185" s="87" t="inlineStr">
        <is>
          <t/>
        </is>
      </c>
      <c r="CB185" s="88" t="inlineStr">
        <is>
          <t>Venture Capital</t>
        </is>
      </c>
      <c r="CC185" s="89" t="inlineStr">
        <is>
          <t/>
        </is>
      </c>
      <c r="CD185" s="90" t="inlineStr">
        <is>
          <t/>
        </is>
      </c>
      <c r="CE185" s="91" t="inlineStr">
        <is>
          <t/>
        </is>
      </c>
      <c r="CF185" s="92" t="inlineStr">
        <is>
          <t>Completed</t>
        </is>
      </c>
      <c r="CG185" s="93" t="inlineStr">
        <is>
          <t>-0,59%</t>
        </is>
      </c>
      <c r="CH185" s="94" t="inlineStr">
        <is>
          <t>18</t>
        </is>
      </c>
      <c r="CI185" s="95" t="inlineStr">
        <is>
          <t>-1,37%</t>
        </is>
      </c>
      <c r="CJ185" s="96" t="inlineStr">
        <is>
          <t>-175,29%</t>
        </is>
      </c>
      <c r="CK185" s="97" t="inlineStr">
        <is>
          <t>-1,94%</t>
        </is>
      </c>
      <c r="CL185" s="98" t="inlineStr">
        <is>
          <t>15</t>
        </is>
      </c>
      <c r="CM185" s="99" t="inlineStr">
        <is>
          <t>0,77%</t>
        </is>
      </c>
      <c r="CN185" s="100" t="inlineStr">
        <is>
          <t>94</t>
        </is>
      </c>
      <c r="CO185" s="101" t="inlineStr">
        <is>
          <t>-6,51%</t>
        </is>
      </c>
      <c r="CP185" s="102" t="inlineStr">
        <is>
          <t>18</t>
        </is>
      </c>
      <c r="CQ185" s="103" t="inlineStr">
        <is>
          <t>2,62%</t>
        </is>
      </c>
      <c r="CR185" s="104" t="inlineStr">
        <is>
          <t>96</t>
        </is>
      </c>
      <c r="CS185" s="105" t="inlineStr">
        <is>
          <t>0,68%</t>
        </is>
      </c>
      <c r="CT185" s="106" t="inlineStr">
        <is>
          <t>91</t>
        </is>
      </c>
      <c r="CU185" s="107" t="inlineStr">
        <is>
          <t>0,86%</t>
        </is>
      </c>
      <c r="CV185" s="108" t="inlineStr">
        <is>
          <t>96</t>
        </is>
      </c>
      <c r="CW185" s="109" t="inlineStr">
        <is>
          <t>8,34x</t>
        </is>
      </c>
      <c r="CX185" s="110" t="inlineStr">
        <is>
          <t>86</t>
        </is>
      </c>
      <c r="CY185" s="111" t="inlineStr">
        <is>
          <t>0,01x</t>
        </is>
      </c>
      <c r="CZ185" s="112" t="inlineStr">
        <is>
          <t>0,18%</t>
        </is>
      </c>
      <c r="DA185" s="113" t="inlineStr">
        <is>
          <t>12,68x</t>
        </is>
      </c>
      <c r="DB185" s="114" t="inlineStr">
        <is>
          <t>91</t>
        </is>
      </c>
      <c r="DC185" s="115" t="inlineStr">
        <is>
          <t>3,99x</t>
        </is>
      </c>
      <c r="DD185" s="116" t="inlineStr">
        <is>
          <t>73</t>
        </is>
      </c>
      <c r="DE185" s="117" t="inlineStr">
        <is>
          <t>17,90x</t>
        </is>
      </c>
      <c r="DF185" s="118" t="inlineStr">
        <is>
          <t>92</t>
        </is>
      </c>
      <c r="DG185" s="119" t="inlineStr">
        <is>
          <t>7,47x</t>
        </is>
      </c>
      <c r="DH185" s="120" t="inlineStr">
        <is>
          <t>84</t>
        </is>
      </c>
      <c r="DI185" s="121" t="inlineStr">
        <is>
          <t>6,03x</t>
        </is>
      </c>
      <c r="DJ185" s="122" t="inlineStr">
        <is>
          <t>76</t>
        </is>
      </c>
      <c r="DK185" s="123" t="inlineStr">
        <is>
          <t>1,95x</t>
        </is>
      </c>
      <c r="DL185" s="124" t="inlineStr">
        <is>
          <t>63</t>
        </is>
      </c>
      <c r="DM185" s="125" t="inlineStr">
        <is>
          <t>6.633</t>
        </is>
      </c>
      <c r="DN185" s="126" t="inlineStr">
        <is>
          <t>36</t>
        </is>
      </c>
      <c r="DO185" s="127" t="inlineStr">
        <is>
          <t>0,55%</t>
        </is>
      </c>
      <c r="DP185" s="128" t="inlineStr">
        <is>
          <t>4.771</t>
        </is>
      </c>
      <c r="DQ185" s="129" t="inlineStr">
        <is>
          <t>60</t>
        </is>
      </c>
      <c r="DR185" s="130" t="inlineStr">
        <is>
          <t>1,27%</t>
        </is>
      </c>
      <c r="DS185" s="131" t="inlineStr">
        <is>
          <t>268</t>
        </is>
      </c>
      <c r="DT185" s="132" t="inlineStr">
        <is>
          <t>3</t>
        </is>
      </c>
      <c r="DU185" s="133" t="inlineStr">
        <is>
          <t>1,13%</t>
        </is>
      </c>
      <c r="DV185" s="134" t="inlineStr">
        <is>
          <t>727</t>
        </is>
      </c>
      <c r="DW185" s="135" t="inlineStr">
        <is>
          <t>7</t>
        </is>
      </c>
      <c r="DX185" s="136" t="inlineStr">
        <is>
          <t>0,97%</t>
        </is>
      </c>
      <c r="DY185" s="137" t="inlineStr">
        <is>
          <t>PitchBook Research</t>
        </is>
      </c>
      <c r="DZ185" s="785">
        <f>HYPERLINK("https://my.pitchbook.com?c=105780-52", "View company online")</f>
      </c>
    </row>
    <row r="186">
      <c r="A186" s="139" t="inlineStr">
        <is>
          <t>161931-70</t>
        </is>
      </c>
      <c r="B186" s="140" t="inlineStr">
        <is>
          <t>Bergamotte</t>
        </is>
      </c>
      <c r="C186" s="141" t="inlineStr">
        <is>
          <t/>
        </is>
      </c>
      <c r="D186" s="142" t="inlineStr">
        <is>
          <t/>
        </is>
      </c>
      <c r="E186" s="143" t="inlineStr">
        <is>
          <t>161931-70</t>
        </is>
      </c>
      <c r="F186" s="144" t="inlineStr">
        <is>
          <t>Provider of a flower delivery service designed to buy floral compositions online. The company provides online express delivery services to deliver seasonal flowers transported from Netherlands and prepares the bouquets so that they can be delivered within 2 hours in Paris and following day all over France.</t>
        </is>
      </c>
      <c r="G186" s="145" t="inlineStr">
        <is>
          <t>Consumer Products and Services (B2C)</t>
        </is>
      </c>
      <c r="H186" s="146" t="inlineStr">
        <is>
          <t>Retail</t>
        </is>
      </c>
      <c r="I186" s="147" t="inlineStr">
        <is>
          <t>Internet Retail</t>
        </is>
      </c>
      <c r="J186" s="148" t="inlineStr">
        <is>
          <t>Internet Retail*</t>
        </is>
      </c>
      <c r="K186" s="149" t="inlineStr">
        <is>
          <t>E-Commerce</t>
        </is>
      </c>
      <c r="L186" s="150" t="inlineStr">
        <is>
          <t>Venture Capital-Backed</t>
        </is>
      </c>
      <c r="M186" s="151" t="n">
        <v>6.2</v>
      </c>
      <c r="N186" s="152" t="inlineStr">
        <is>
          <t>Generating Revenue</t>
        </is>
      </c>
      <c r="O186" s="153" t="inlineStr">
        <is>
          <t>Privately Held (backing)</t>
        </is>
      </c>
      <c r="P186" s="154" t="inlineStr">
        <is>
          <t>Venture Capital</t>
        </is>
      </c>
      <c r="Q186" s="155" t="inlineStr">
        <is>
          <t>www.bergamotte.com</t>
        </is>
      </c>
      <c r="R186" s="156" t="n">
        <v>11.0</v>
      </c>
      <c r="S186" s="157" t="inlineStr">
        <is>
          <t/>
        </is>
      </c>
      <c r="T186" s="158" t="inlineStr">
        <is>
          <t/>
        </is>
      </c>
      <c r="U186" s="159" t="n">
        <v>2015.0</v>
      </c>
      <c r="V186" s="160" t="inlineStr">
        <is>
          <t/>
        </is>
      </c>
      <c r="W186" s="161" t="inlineStr">
        <is>
          <t/>
        </is>
      </c>
      <c r="X186" s="162" t="inlineStr">
        <is>
          <t/>
        </is>
      </c>
      <c r="Y186" s="163" t="n">
        <v>14.24504</v>
      </c>
      <c r="Z186" s="164" t="inlineStr">
        <is>
          <t/>
        </is>
      </c>
      <c r="AA186" s="165" t="inlineStr">
        <is>
          <t/>
        </is>
      </c>
      <c r="AB186" s="166" t="inlineStr">
        <is>
          <t/>
        </is>
      </c>
      <c r="AC186" s="167" t="inlineStr">
        <is>
          <t/>
        </is>
      </c>
      <c r="AD186" s="168" t="inlineStr">
        <is>
          <t>FY 2018</t>
        </is>
      </c>
      <c r="AE186" s="169" t="inlineStr">
        <is>
          <t>139077-64P</t>
        </is>
      </c>
      <c r="AF186" s="170" t="inlineStr">
        <is>
          <t>Romain Raffard</t>
        </is>
      </c>
      <c r="AG186" s="171" t="inlineStr">
        <is>
          <t>Co-Founder &amp; Chief Executive Officer</t>
        </is>
      </c>
      <c r="AH186" s="172" t="inlineStr">
        <is>
          <t>romain@bergamotte.com</t>
        </is>
      </c>
      <c r="AI186" s="173" t="inlineStr">
        <is>
          <t>+33 (0)1 76 35 01 10</t>
        </is>
      </c>
      <c r="AJ186" s="174" t="inlineStr">
        <is>
          <t>Paris, France</t>
        </is>
      </c>
      <c r="AK186" s="175" t="inlineStr">
        <is>
          <t>12 Rue d'Argenteuil</t>
        </is>
      </c>
      <c r="AL186" s="176" t="inlineStr">
        <is>
          <t/>
        </is>
      </c>
      <c r="AM186" s="177" t="inlineStr">
        <is>
          <t>Paris</t>
        </is>
      </c>
      <c r="AN186" s="178" t="inlineStr">
        <is>
          <t/>
        </is>
      </c>
      <c r="AO186" s="179" t="inlineStr">
        <is>
          <t>75001</t>
        </is>
      </c>
      <c r="AP186" s="180" t="inlineStr">
        <is>
          <t>France</t>
        </is>
      </c>
      <c r="AQ186" s="181" t="inlineStr">
        <is>
          <t>+33 (0)1 76 35 01 10</t>
        </is>
      </c>
      <c r="AR186" s="182" t="inlineStr">
        <is>
          <t/>
        </is>
      </c>
      <c r="AS186" s="183" t="inlineStr">
        <is>
          <t>help@bergamotte.com</t>
        </is>
      </c>
      <c r="AT186" s="184" t="inlineStr">
        <is>
          <t>Europe</t>
        </is>
      </c>
      <c r="AU186" s="185" t="inlineStr">
        <is>
          <t>Western Europe</t>
        </is>
      </c>
      <c r="AV186" s="186" t="inlineStr">
        <is>
          <t>The company raised EUR 5 million of Series A venture funding from XAnge Private Equity and 360 Capital Partners on September 19, 2017. The company intends to use the funds to accelerate their development, to produce 2,000 bouquets per day by 2018 to accompany their expansion and to recruit about 15 employees by the end of 2017.</t>
        </is>
      </c>
      <c r="AW186" s="187" t="inlineStr">
        <is>
          <t>360 Capital Partners, Eric La Bonnardiere, R301 Capital, XAnge Private Equity</t>
        </is>
      </c>
      <c r="AX186" s="188" t="n">
        <v>4.0</v>
      </c>
      <c r="AY186" s="189" t="inlineStr">
        <is>
          <t/>
        </is>
      </c>
      <c r="AZ186" s="190" t="inlineStr">
        <is>
          <t/>
        </is>
      </c>
      <c r="BA186" s="191" t="inlineStr">
        <is>
          <t/>
        </is>
      </c>
      <c r="BB186" s="192" t="inlineStr">
        <is>
          <t>360 Capital Partners (www.360capitalpartners.com), R301 Capital (www.r301capital.com), XAnge Private Equity (www.xange.fr)</t>
        </is>
      </c>
      <c r="BC186" s="193" t="inlineStr">
        <is>
          <t/>
        </is>
      </c>
      <c r="BD186" s="194" t="inlineStr">
        <is>
          <t/>
        </is>
      </c>
      <c r="BE186" s="195" t="inlineStr">
        <is>
          <t/>
        </is>
      </c>
      <c r="BF186" s="196" t="inlineStr">
        <is>
          <t>Pinot de Villechenon &amp; Associés (Legal Advisor)</t>
        </is>
      </c>
      <c r="BG186" s="197" t="n">
        <v>42573.0</v>
      </c>
      <c r="BH186" s="198" t="n">
        <v>1.2</v>
      </c>
      <c r="BI186" s="199" t="inlineStr">
        <is>
          <t>Actual</t>
        </is>
      </c>
      <c r="BJ186" s="200" t="inlineStr">
        <is>
          <t/>
        </is>
      </c>
      <c r="BK186" s="201" t="inlineStr">
        <is>
          <t/>
        </is>
      </c>
      <c r="BL186" s="202" t="inlineStr">
        <is>
          <t>Early Stage VC</t>
        </is>
      </c>
      <c r="BM186" s="203" t="inlineStr">
        <is>
          <t/>
        </is>
      </c>
      <c r="BN186" s="204" t="inlineStr">
        <is>
          <t/>
        </is>
      </c>
      <c r="BO186" s="205" t="inlineStr">
        <is>
          <t>Venture Capital</t>
        </is>
      </c>
      <c r="BP186" s="206" t="inlineStr">
        <is>
          <t/>
        </is>
      </c>
      <c r="BQ186" s="207" t="inlineStr">
        <is>
          <t/>
        </is>
      </c>
      <c r="BR186" s="208" t="inlineStr">
        <is>
          <t/>
        </is>
      </c>
      <c r="BS186" s="209" t="inlineStr">
        <is>
          <t>Completed</t>
        </is>
      </c>
      <c r="BT186" s="210" t="n">
        <v>42997.0</v>
      </c>
      <c r="BU186" s="211" t="n">
        <v>5.0</v>
      </c>
      <c r="BV186" s="212" t="inlineStr">
        <is>
          <t>Actual</t>
        </is>
      </c>
      <c r="BW186" s="213" t="inlineStr">
        <is>
          <t/>
        </is>
      </c>
      <c r="BX186" s="214" t="inlineStr">
        <is>
          <t/>
        </is>
      </c>
      <c r="BY186" s="215" t="inlineStr">
        <is>
          <t>Early Stage VC</t>
        </is>
      </c>
      <c r="BZ186" s="216" t="inlineStr">
        <is>
          <t>Series A</t>
        </is>
      </c>
      <c r="CA186" s="217" t="inlineStr">
        <is>
          <t/>
        </is>
      </c>
      <c r="CB186" s="218" t="inlineStr">
        <is>
          <t>Venture Capital</t>
        </is>
      </c>
      <c r="CC186" s="219" t="inlineStr">
        <is>
          <t/>
        </is>
      </c>
      <c r="CD186" s="220" t="inlineStr">
        <is>
          <t/>
        </is>
      </c>
      <c r="CE186" s="221" t="inlineStr">
        <is>
          <t/>
        </is>
      </c>
      <c r="CF186" s="222" t="inlineStr">
        <is>
          <t>Completed</t>
        </is>
      </c>
      <c r="CG186" s="223" t="inlineStr">
        <is>
          <t>-4,80%</t>
        </is>
      </c>
      <c r="CH186" s="224" t="inlineStr">
        <is>
          <t>4</t>
        </is>
      </c>
      <c r="CI186" s="225" t="inlineStr">
        <is>
          <t>-0,08%</t>
        </is>
      </c>
      <c r="CJ186" s="226" t="inlineStr">
        <is>
          <t>-1,69%</t>
        </is>
      </c>
      <c r="CK186" s="227" t="inlineStr">
        <is>
          <t>-10,09%</t>
        </is>
      </c>
      <c r="CL186" s="228" t="inlineStr">
        <is>
          <t>3</t>
        </is>
      </c>
      <c r="CM186" s="229" t="inlineStr">
        <is>
          <t>0,49%</t>
        </is>
      </c>
      <c r="CN186" s="230" t="inlineStr">
        <is>
          <t>88</t>
        </is>
      </c>
      <c r="CO186" s="231" t="inlineStr">
        <is>
          <t>-20,57%</t>
        </is>
      </c>
      <c r="CP186" s="232" t="inlineStr">
        <is>
          <t>5</t>
        </is>
      </c>
      <c r="CQ186" s="233" t="inlineStr">
        <is>
          <t>0,40%</t>
        </is>
      </c>
      <c r="CR186" s="234" t="inlineStr">
        <is>
          <t>91</t>
        </is>
      </c>
      <c r="CS186" s="235" t="inlineStr">
        <is>
          <t>0,85%</t>
        </is>
      </c>
      <c r="CT186" s="236" t="inlineStr">
        <is>
          <t>93</t>
        </is>
      </c>
      <c r="CU186" s="237" t="inlineStr">
        <is>
          <t>0,14%</t>
        </is>
      </c>
      <c r="CV186" s="238" t="inlineStr">
        <is>
          <t>71</t>
        </is>
      </c>
      <c r="CW186" s="239" t="inlineStr">
        <is>
          <t>16,84x</t>
        </is>
      </c>
      <c r="CX186" s="240" t="inlineStr">
        <is>
          <t>92</t>
        </is>
      </c>
      <c r="CY186" s="241" t="inlineStr">
        <is>
          <t>-0,02x</t>
        </is>
      </c>
      <c r="CZ186" s="242" t="inlineStr">
        <is>
          <t>-0,15%</t>
        </is>
      </c>
      <c r="DA186" s="243" t="inlineStr">
        <is>
          <t>4,49x</t>
        </is>
      </c>
      <c r="DB186" s="244" t="inlineStr">
        <is>
          <t>80</t>
        </is>
      </c>
      <c r="DC186" s="245" t="inlineStr">
        <is>
          <t>29,19x</t>
        </is>
      </c>
      <c r="DD186" s="246" t="inlineStr">
        <is>
          <t>92</t>
        </is>
      </c>
      <c r="DE186" s="247" t="inlineStr">
        <is>
          <t>0,09x</t>
        </is>
      </c>
      <c r="DF186" s="248" t="inlineStr">
        <is>
          <t>4</t>
        </is>
      </c>
      <c r="DG186" s="249" t="inlineStr">
        <is>
          <t>8,89x</t>
        </is>
      </c>
      <c r="DH186" s="250" t="inlineStr">
        <is>
          <t>86</t>
        </is>
      </c>
      <c r="DI186" s="251" t="inlineStr">
        <is>
          <t>56,65x</t>
        </is>
      </c>
      <c r="DJ186" s="252" t="inlineStr">
        <is>
          <t>93</t>
        </is>
      </c>
      <c r="DK186" s="253" t="inlineStr">
        <is>
          <t>1,73x</t>
        </is>
      </c>
      <c r="DL186" s="254" t="inlineStr">
        <is>
          <t>61</t>
        </is>
      </c>
      <c r="DM186" s="255" t="inlineStr">
        <is>
          <t>34</t>
        </is>
      </c>
      <c r="DN186" s="256" t="inlineStr">
        <is>
          <t>-14</t>
        </is>
      </c>
      <c r="DO186" s="257" t="inlineStr">
        <is>
          <t>-29,17%</t>
        </is>
      </c>
      <c r="DP186" s="258" t="inlineStr">
        <is>
          <t>44.740</t>
        </is>
      </c>
      <c r="DQ186" s="259" t="inlineStr">
        <is>
          <t>255</t>
        </is>
      </c>
      <c r="DR186" s="260" t="inlineStr">
        <is>
          <t>0,57%</t>
        </is>
      </c>
      <c r="DS186" s="261" t="inlineStr">
        <is>
          <t>320</t>
        </is>
      </c>
      <c r="DT186" s="262" t="inlineStr">
        <is>
          <t>0</t>
        </is>
      </c>
      <c r="DU186" s="263" t="inlineStr">
        <is>
          <t>0,00%</t>
        </is>
      </c>
      <c r="DV186" s="264" t="inlineStr">
        <is>
          <t>647</t>
        </is>
      </c>
      <c r="DW186" s="265" t="inlineStr">
        <is>
          <t>0</t>
        </is>
      </c>
      <c r="DX186" s="266" t="inlineStr">
        <is>
          <t>0,00%</t>
        </is>
      </c>
      <c r="DY186" s="267" t="inlineStr">
        <is>
          <t>PitchBook Research</t>
        </is>
      </c>
      <c r="DZ186" s="786">
        <f>HYPERLINK("https://my.pitchbook.com?c=161931-70", "View company online")</f>
      </c>
    </row>
    <row r="187">
      <c r="A187" s="9" t="inlineStr">
        <is>
          <t>97037-83</t>
        </is>
      </c>
      <c r="B187" s="10" t="inlineStr">
        <is>
          <t>Aston EyeTech</t>
        </is>
      </c>
      <c r="C187" s="11" t="inlineStr">
        <is>
          <t/>
        </is>
      </c>
      <c r="D187" s="12" t="inlineStr">
        <is>
          <t/>
        </is>
      </c>
      <c r="E187" s="13" t="inlineStr">
        <is>
          <t>97037-83</t>
        </is>
      </c>
      <c r="F187" s="14" t="inlineStr">
        <is>
          <t>Developer of a decision support software designed to significantly advance understanding of the development, use, preservation and restoration of ocular function in humans by research on clinical and applied matters relevant to optometry and ophthalmology. The company's decision support software combines portable and digital eye tests with artificial intelligence driven software platforms to support their industrial partners to enhance and validate their prototype technology, enabling optometrists using advanced mathematics and artificial intelligence to improve accuracy of diagnosis and to help them increase sales through more personalized product recommendations.</t>
        </is>
      </c>
      <c r="G187" s="15" t="inlineStr">
        <is>
          <t>Healthcare</t>
        </is>
      </c>
      <c r="H187" s="16" t="inlineStr">
        <is>
          <t>Healthcare Technology Systems</t>
        </is>
      </c>
      <c r="I187" s="17" t="inlineStr">
        <is>
          <t>Other Healthcare Technology Systems</t>
        </is>
      </c>
      <c r="J187" s="18" t="inlineStr">
        <is>
          <t>Other Healthcare Technology Systems*; Other Software</t>
        </is>
      </c>
      <c r="K187" s="19" t="inlineStr">
        <is>
          <t>Artificial Intelligence &amp; Machine Learning</t>
        </is>
      </c>
      <c r="L187" s="20" t="inlineStr">
        <is>
          <t>Venture Capital-Backed</t>
        </is>
      </c>
      <c r="M187" s="21" t="n">
        <v>6.35</v>
      </c>
      <c r="N187" s="22" t="inlineStr">
        <is>
          <t>Generating Revenue</t>
        </is>
      </c>
      <c r="O187" s="23" t="inlineStr">
        <is>
          <t>Privately Held (backing)</t>
        </is>
      </c>
      <c r="P187" s="24" t="inlineStr">
        <is>
          <t>Venture Capital</t>
        </is>
      </c>
      <c r="Q187" s="25" t="inlineStr">
        <is>
          <t>www.astoneyetech.com</t>
        </is>
      </c>
      <c r="R187" s="26" t="n">
        <v>4.0</v>
      </c>
      <c r="S187" s="27" t="inlineStr">
        <is>
          <t/>
        </is>
      </c>
      <c r="T187" s="28" t="inlineStr">
        <is>
          <t/>
        </is>
      </c>
      <c r="U187" s="29" t="n">
        <v>2014.0</v>
      </c>
      <c r="V187" s="30" t="inlineStr">
        <is>
          <t/>
        </is>
      </c>
      <c r="W187" s="31" t="inlineStr">
        <is>
          <t/>
        </is>
      </c>
      <c r="X187" s="32" t="inlineStr">
        <is>
          <r>
            <rPr>
              <b/>
              <color rgb="ff26854d"/>
              <rFont val="Arial"/>
              <sz val="8.0"/>
            </rPr>
            <t>News</t>
          </r>
          <r>
            <rPr>
              <color rgb="ff707070"/>
              <rFont val="Arial"/>
              <sz val="7.0"/>
            </rPr>
            <t xml:space="preserve"> NEW  </t>
          </r>
        </is>
      </c>
      <c r="Y187" s="33" t="inlineStr">
        <is>
          <t/>
        </is>
      </c>
      <c r="Z187" s="34" t="inlineStr">
        <is>
          <t/>
        </is>
      </c>
      <c r="AA187" s="35" t="inlineStr">
        <is>
          <t/>
        </is>
      </c>
      <c r="AB187" s="36" t="inlineStr">
        <is>
          <t/>
        </is>
      </c>
      <c r="AC187" s="37" t="inlineStr">
        <is>
          <t/>
        </is>
      </c>
      <c r="AD187" s="38" t="inlineStr">
        <is>
          <t/>
        </is>
      </c>
      <c r="AE187" s="39" t="inlineStr">
        <is>
          <t>77633-74P</t>
        </is>
      </c>
      <c r="AF187" s="40" t="inlineStr">
        <is>
          <t>Paul Blackburn</t>
        </is>
      </c>
      <c r="AG187" s="41" t="inlineStr">
        <is>
          <t>Executive Chairman</t>
        </is>
      </c>
      <c r="AH187" s="42" t="inlineStr">
        <is>
          <t>paul.blackburn@astoneyetech.com</t>
        </is>
      </c>
      <c r="AI187" s="43" t="inlineStr">
        <is>
          <t>+44 (0)12 1573 0180</t>
        </is>
      </c>
      <c r="AJ187" s="44" t="inlineStr">
        <is>
          <t>Birmingham, United Kingdom</t>
        </is>
      </c>
      <c r="AK187" s="45" t="inlineStr">
        <is>
          <t>Faraday Wharf</t>
        </is>
      </c>
      <c r="AL187" s="46" t="inlineStr">
        <is>
          <t>Holt Street</t>
        </is>
      </c>
      <c r="AM187" s="47" t="inlineStr">
        <is>
          <t>Birmingham</t>
        </is>
      </c>
      <c r="AN187" s="48" t="inlineStr">
        <is>
          <t>England</t>
        </is>
      </c>
      <c r="AO187" s="49" t="inlineStr">
        <is>
          <t>B7 4BB</t>
        </is>
      </c>
      <c r="AP187" s="50" t="inlineStr">
        <is>
          <t>United Kingdom</t>
        </is>
      </c>
      <c r="AQ187" s="51" t="inlineStr">
        <is>
          <t>+44 (0)12 1573 0180</t>
        </is>
      </c>
      <c r="AR187" s="52" t="inlineStr">
        <is>
          <t/>
        </is>
      </c>
      <c r="AS187" s="53" t="inlineStr">
        <is>
          <t>info@astoneyetech.com</t>
        </is>
      </c>
      <c r="AT187" s="54" t="inlineStr">
        <is>
          <t>Europe</t>
        </is>
      </c>
      <c r="AU187" s="55" t="inlineStr">
        <is>
          <t>Western Europe</t>
        </is>
      </c>
      <c r="AV187" s="56" t="inlineStr">
        <is>
          <t>The company raised GBP 5 million of Series A venture funding from Mercia Technologies and other undisclosed investors on November 17, 2017. The company will use the funds to accelerate product development and launch its products.</t>
        </is>
      </c>
      <c r="AW187" s="57" t="inlineStr">
        <is>
          <t>Ascension Ventures (UK), EyeFocus Accelerator, Mercia Technologies, Midven</t>
        </is>
      </c>
      <c r="AX187" s="58" t="n">
        <v>4.0</v>
      </c>
      <c r="AY187" s="59" t="inlineStr">
        <is>
          <t/>
        </is>
      </c>
      <c r="AZ187" s="60" t="inlineStr">
        <is>
          <t/>
        </is>
      </c>
      <c r="BA187" s="61" t="inlineStr">
        <is>
          <t/>
        </is>
      </c>
      <c r="BB187" s="62" t="inlineStr">
        <is>
          <t>Ascension Ventures (UK) (www.ascensionventures.com), EyeFocus Accelerator (www.eyefocus.co), Mercia Technologies (www.merciatech.co.uk), Midven (www.midven.co.uk)</t>
        </is>
      </c>
      <c r="BC187" s="63" t="inlineStr">
        <is>
          <t/>
        </is>
      </c>
      <c r="BD187" s="64" t="inlineStr">
        <is>
          <t/>
        </is>
      </c>
      <c r="BE187" s="65" t="inlineStr">
        <is>
          <t/>
        </is>
      </c>
      <c r="BF187" s="66" t="inlineStr">
        <is>
          <t/>
        </is>
      </c>
      <c r="BG187" s="67" t="inlineStr">
        <is>
          <t/>
        </is>
      </c>
      <c r="BH187" s="68" t="inlineStr">
        <is>
          <t/>
        </is>
      </c>
      <c r="BI187" s="69" t="inlineStr">
        <is>
          <t/>
        </is>
      </c>
      <c r="BJ187" s="70" t="inlineStr">
        <is>
          <t/>
        </is>
      </c>
      <c r="BK187" s="71" t="inlineStr">
        <is>
          <t/>
        </is>
      </c>
      <c r="BL187" s="72" t="inlineStr">
        <is>
          <t>Accelerator/Incubator</t>
        </is>
      </c>
      <c r="BM187" s="73" t="inlineStr">
        <is>
          <t/>
        </is>
      </c>
      <c r="BN187" s="74" t="inlineStr">
        <is>
          <t/>
        </is>
      </c>
      <c r="BO187" s="75" t="inlineStr">
        <is>
          <t>Other</t>
        </is>
      </c>
      <c r="BP187" s="76" t="inlineStr">
        <is>
          <t/>
        </is>
      </c>
      <c r="BQ187" s="77" t="inlineStr">
        <is>
          <t/>
        </is>
      </c>
      <c r="BR187" s="78" t="inlineStr">
        <is>
          <t/>
        </is>
      </c>
      <c r="BS187" s="79" t="inlineStr">
        <is>
          <t>Completed</t>
        </is>
      </c>
      <c r="BT187" s="80" t="n">
        <v>43056.0</v>
      </c>
      <c r="BU187" s="81" t="n">
        <v>5.61</v>
      </c>
      <c r="BV187" s="82" t="inlineStr">
        <is>
          <t>Actual</t>
        </is>
      </c>
      <c r="BW187" s="83" t="inlineStr">
        <is>
          <t/>
        </is>
      </c>
      <c r="BX187" s="84" t="inlineStr">
        <is>
          <t/>
        </is>
      </c>
      <c r="BY187" s="85" t="inlineStr">
        <is>
          <t>Early Stage VC</t>
        </is>
      </c>
      <c r="BZ187" s="86" t="inlineStr">
        <is>
          <t>Series A</t>
        </is>
      </c>
      <c r="CA187" s="87" t="inlineStr">
        <is>
          <t/>
        </is>
      </c>
      <c r="CB187" s="88" t="inlineStr">
        <is>
          <t>Venture Capital</t>
        </is>
      </c>
      <c r="CC187" s="89" t="inlineStr">
        <is>
          <t/>
        </is>
      </c>
      <c r="CD187" s="90" t="inlineStr">
        <is>
          <t/>
        </is>
      </c>
      <c r="CE187" s="91" t="inlineStr">
        <is>
          <t/>
        </is>
      </c>
      <c r="CF187" s="92" t="inlineStr">
        <is>
          <t>Completed</t>
        </is>
      </c>
      <c r="CG187" s="93" t="inlineStr">
        <is>
          <t>0,47%</t>
        </is>
      </c>
      <c r="CH187" s="94" t="inlineStr">
        <is>
          <t>91</t>
        </is>
      </c>
      <c r="CI187" s="95" t="inlineStr">
        <is>
          <t>-0,05%</t>
        </is>
      </c>
      <c r="CJ187" s="96" t="inlineStr">
        <is>
          <t>-10,45%</t>
        </is>
      </c>
      <c r="CK187" s="97" t="inlineStr">
        <is>
          <t>0,00%</t>
        </is>
      </c>
      <c r="CL187" s="98" t="inlineStr">
        <is>
          <t>28</t>
        </is>
      </c>
      <c r="CM187" s="99" t="inlineStr">
        <is>
          <t>0,94%</t>
        </is>
      </c>
      <c r="CN187" s="100" t="inlineStr">
        <is>
          <t>95</t>
        </is>
      </c>
      <c r="CO187" s="101" t="inlineStr">
        <is>
          <t/>
        </is>
      </c>
      <c r="CP187" s="102" t="inlineStr">
        <is>
          <t/>
        </is>
      </c>
      <c r="CQ187" s="103" t="inlineStr">
        <is>
          <t>0,00%</t>
        </is>
      </c>
      <c r="CR187" s="104" t="inlineStr">
        <is>
          <t>20</t>
        </is>
      </c>
      <c r="CS187" s="105" t="inlineStr">
        <is>
          <t>0,00%</t>
        </is>
      </c>
      <c r="CT187" s="106" t="inlineStr">
        <is>
          <t>18</t>
        </is>
      </c>
      <c r="CU187" s="107" t="inlineStr">
        <is>
          <t>1,87%</t>
        </is>
      </c>
      <c r="CV187" s="108" t="inlineStr">
        <is>
          <t>99</t>
        </is>
      </c>
      <c r="CW187" s="109" t="inlineStr">
        <is>
          <t>0,38x</t>
        </is>
      </c>
      <c r="CX187" s="110" t="inlineStr">
        <is>
          <t>27</t>
        </is>
      </c>
      <c r="CY187" s="111" t="inlineStr">
        <is>
          <t>0,00x</t>
        </is>
      </c>
      <c r="CZ187" s="112" t="inlineStr">
        <is>
          <t>0,15%</t>
        </is>
      </c>
      <c r="DA187" s="113" t="inlineStr">
        <is>
          <t>0,56x</t>
        </is>
      </c>
      <c r="DB187" s="114" t="inlineStr">
        <is>
          <t>37</t>
        </is>
      </c>
      <c r="DC187" s="115" t="inlineStr">
        <is>
          <t>0,21x</t>
        </is>
      </c>
      <c r="DD187" s="116" t="inlineStr">
        <is>
          <t>22</t>
        </is>
      </c>
      <c r="DE187" s="117" t="inlineStr">
        <is>
          <t/>
        </is>
      </c>
      <c r="DF187" s="118" t="inlineStr">
        <is>
          <t/>
        </is>
      </c>
      <c r="DG187" s="119" t="inlineStr">
        <is>
          <t>0,56x</t>
        </is>
      </c>
      <c r="DH187" s="120" t="inlineStr">
        <is>
          <t>38</t>
        </is>
      </c>
      <c r="DI187" s="121" t="inlineStr">
        <is>
          <t>0,02x</t>
        </is>
      </c>
      <c r="DJ187" s="122" t="inlineStr">
        <is>
          <t>4</t>
        </is>
      </c>
      <c r="DK187" s="123" t="inlineStr">
        <is>
          <t>0,40x</t>
        </is>
      </c>
      <c r="DL187" s="124" t="inlineStr">
        <is>
          <t>34</t>
        </is>
      </c>
      <c r="DM187" s="125" t="inlineStr">
        <is>
          <t/>
        </is>
      </c>
      <c r="DN187" s="126" t="inlineStr">
        <is>
          <t/>
        </is>
      </c>
      <c r="DO187" s="127" t="inlineStr">
        <is>
          <t/>
        </is>
      </c>
      <c r="DP187" s="128" t="inlineStr">
        <is>
          <t>11</t>
        </is>
      </c>
      <c r="DQ187" s="129" t="inlineStr">
        <is>
          <t>0</t>
        </is>
      </c>
      <c r="DR187" s="130" t="inlineStr">
        <is>
          <t>0,00%</t>
        </is>
      </c>
      <c r="DS187" s="131" t="inlineStr">
        <is>
          <t>20</t>
        </is>
      </c>
      <c r="DT187" s="132" t="inlineStr">
        <is>
          <t>0</t>
        </is>
      </c>
      <c r="DU187" s="133" t="inlineStr">
        <is>
          <t>0,00%</t>
        </is>
      </c>
      <c r="DV187" s="134" t="inlineStr">
        <is>
          <t>146</t>
        </is>
      </c>
      <c r="DW187" s="135" t="inlineStr">
        <is>
          <t>1</t>
        </is>
      </c>
      <c r="DX187" s="136" t="inlineStr">
        <is>
          <t>0,69%</t>
        </is>
      </c>
      <c r="DY187" s="137" t="inlineStr">
        <is>
          <t>PitchBook Research</t>
        </is>
      </c>
      <c r="DZ187" s="785">
        <f>HYPERLINK("https://my.pitchbook.com?c=97037-83", "View company online")</f>
      </c>
    </row>
    <row r="188">
      <c r="A188" s="139" t="inlineStr">
        <is>
          <t>126199-27</t>
        </is>
      </c>
      <c r="B188" s="140" t="inlineStr">
        <is>
          <t>Aifloo</t>
        </is>
      </c>
      <c r="C188" s="141" t="inlineStr">
        <is>
          <t/>
        </is>
      </c>
      <c r="D188" s="142" t="inlineStr">
        <is>
          <t/>
        </is>
      </c>
      <c r="E188" s="143" t="inlineStr">
        <is>
          <t>126199-27</t>
        </is>
      </c>
      <c r="F188" s="144" t="inlineStr">
        <is>
          <t>Developer of an e-health system designed to detect health problems. The company's e-health system provides a self-learning artificial intelligence platform that monitors movement, pulse rate, temperature, sleep patterns and alerts users instantly via an application on smartphone if any problem is detected, enabling elderly to live long, independently and free from fear and insecurity in their homes.</t>
        </is>
      </c>
      <c r="G188" s="145" t="inlineStr">
        <is>
          <t>Information Technology</t>
        </is>
      </c>
      <c r="H188" s="146" t="inlineStr">
        <is>
          <t>Software</t>
        </is>
      </c>
      <c r="I188" s="147" t="inlineStr">
        <is>
          <t>Application Software</t>
        </is>
      </c>
      <c r="J188" s="148" t="inlineStr">
        <is>
          <t>Application Software*; Other Healthcare Technology Systems</t>
        </is>
      </c>
      <c r="K188" s="149" t="inlineStr">
        <is>
          <t>Artificial Intelligence &amp; Machine Learning, HealthTech, Internet of Things, SaaS</t>
        </is>
      </c>
      <c r="L188" s="150" t="inlineStr">
        <is>
          <t>Venture Capital-Backed</t>
        </is>
      </c>
      <c r="M188" s="151" t="n">
        <v>6.35</v>
      </c>
      <c r="N188" s="152" t="inlineStr">
        <is>
          <t>Generating Revenue</t>
        </is>
      </c>
      <c r="O188" s="153" t="inlineStr">
        <is>
          <t>Privately Held (backing)</t>
        </is>
      </c>
      <c r="P188" s="154" t="inlineStr">
        <is>
          <t>Venture Capital</t>
        </is>
      </c>
      <c r="Q188" s="155" t="inlineStr">
        <is>
          <t>www.aifloo.com</t>
        </is>
      </c>
      <c r="R188" s="156" t="n">
        <v>5.0</v>
      </c>
      <c r="S188" s="157" t="inlineStr">
        <is>
          <t/>
        </is>
      </c>
      <c r="T188" s="158" t="inlineStr">
        <is>
          <t/>
        </is>
      </c>
      <c r="U188" s="159" t="n">
        <v>2015.0</v>
      </c>
      <c r="V188" s="160" t="inlineStr">
        <is>
          <t/>
        </is>
      </c>
      <c r="W188" s="161" t="inlineStr">
        <is>
          <t/>
        </is>
      </c>
      <c r="X188" s="162" t="inlineStr">
        <is>
          <t/>
        </is>
      </c>
      <c r="Y188" s="163" t="n">
        <v>0.23715</v>
      </c>
      <c r="Z188" s="164" t="inlineStr">
        <is>
          <t/>
        </is>
      </c>
      <c r="AA188" s="165" t="n">
        <v>-1.08139</v>
      </c>
      <c r="AB188" s="166" t="inlineStr">
        <is>
          <t/>
        </is>
      </c>
      <c r="AC188" s="167" t="n">
        <v>-1.06242</v>
      </c>
      <c r="AD188" s="168" t="inlineStr">
        <is>
          <t>FY 2016</t>
        </is>
      </c>
      <c r="AE188" s="169" t="inlineStr">
        <is>
          <t>117582-58P</t>
        </is>
      </c>
      <c r="AF188" s="170" t="inlineStr">
        <is>
          <t>Anders Widgren</t>
        </is>
      </c>
      <c r="AG188" s="171" t="inlineStr">
        <is>
          <t>Co-Founder &amp; Chief Technology Officer</t>
        </is>
      </c>
      <c r="AH188" s="172" t="inlineStr">
        <is>
          <t>anders@aircap.se</t>
        </is>
      </c>
      <c r="AI188" s="173" t="inlineStr">
        <is>
          <t>+46 (0)234 601</t>
        </is>
      </c>
      <c r="AJ188" s="174" t="inlineStr">
        <is>
          <t>Stockholm, Sweden</t>
        </is>
      </c>
      <c r="AK188" s="175" t="inlineStr">
        <is>
          <t>Royal Institute of Technology</t>
        </is>
      </c>
      <c r="AL188" s="176" t="inlineStr">
        <is>
          <t>Drottning Kristinas väg 53</t>
        </is>
      </c>
      <c r="AM188" s="177" t="inlineStr">
        <is>
          <t>Stockholm</t>
        </is>
      </c>
      <c r="AN188" s="178" t="inlineStr">
        <is>
          <t/>
        </is>
      </c>
      <c r="AO188" s="179" t="inlineStr">
        <is>
          <t>114 28</t>
        </is>
      </c>
      <c r="AP188" s="180" t="inlineStr">
        <is>
          <t>Sweden</t>
        </is>
      </c>
      <c r="AQ188" s="181" t="inlineStr">
        <is>
          <t>+46 (0)7 0845 2334</t>
        </is>
      </c>
      <c r="AR188" s="182" t="inlineStr">
        <is>
          <t/>
        </is>
      </c>
      <c r="AS188" s="183" t="inlineStr">
        <is>
          <t>info@aifloo.com</t>
        </is>
      </c>
      <c r="AT188" s="184" t="inlineStr">
        <is>
          <t>Europe</t>
        </is>
      </c>
      <c r="AU188" s="185" t="inlineStr">
        <is>
          <t>Northern Europe</t>
        </is>
      </c>
      <c r="AV188" s="186" t="inlineStr">
        <is>
          <t>The company raised EUR 5.1 million of Series A venture funding in a deal led by EQT Ventures on September 5, 2017. The funding will allow to advance its AI technology for elderly members.</t>
        </is>
      </c>
      <c r="AW188" s="187" t="inlineStr">
        <is>
          <t>Aicap, Born Global, EQT Ventures, Länsförsäkringar, Stockholm Innovation &amp; Growth</t>
        </is>
      </c>
      <c r="AX188" s="188" t="n">
        <v>5.0</v>
      </c>
      <c r="AY188" s="189" t="inlineStr">
        <is>
          <t/>
        </is>
      </c>
      <c r="AZ188" s="190" t="inlineStr">
        <is>
          <t/>
        </is>
      </c>
      <c r="BA188" s="191" t="inlineStr">
        <is>
          <t/>
        </is>
      </c>
      <c r="BB188" s="192" t="inlineStr">
        <is>
          <t>Aicap (www.aicap.se), Born Global (www.bornglobal.se), EQT Ventures (www.eqtventures.com), Länsförsäkringar (www.lansforsakringar.se), Stockholm Innovation &amp; Growth (www.sting.co)</t>
        </is>
      </c>
      <c r="BC188" s="193" t="inlineStr">
        <is>
          <t/>
        </is>
      </c>
      <c r="BD188" s="194" t="inlineStr">
        <is>
          <t/>
        </is>
      </c>
      <c r="BE188" s="195" t="inlineStr">
        <is>
          <t/>
        </is>
      </c>
      <c r="BF188" s="196" t="inlineStr">
        <is>
          <t/>
        </is>
      </c>
      <c r="BG188" s="197" t="n">
        <v>42156.0</v>
      </c>
      <c r="BH188" s="198" t="inlineStr">
        <is>
          <t/>
        </is>
      </c>
      <c r="BI188" s="199" t="inlineStr">
        <is>
          <t/>
        </is>
      </c>
      <c r="BJ188" s="200" t="inlineStr">
        <is>
          <t/>
        </is>
      </c>
      <c r="BK188" s="201" t="inlineStr">
        <is>
          <t/>
        </is>
      </c>
      <c r="BL188" s="202" t="inlineStr">
        <is>
          <t>Accelerator/Incubator</t>
        </is>
      </c>
      <c r="BM188" s="203" t="inlineStr">
        <is>
          <t/>
        </is>
      </c>
      <c r="BN188" s="204" t="inlineStr">
        <is>
          <t/>
        </is>
      </c>
      <c r="BO188" s="205" t="inlineStr">
        <is>
          <t>Other</t>
        </is>
      </c>
      <c r="BP188" s="206" t="inlineStr">
        <is>
          <t/>
        </is>
      </c>
      <c r="BQ188" s="207" t="inlineStr">
        <is>
          <t/>
        </is>
      </c>
      <c r="BR188" s="208" t="inlineStr">
        <is>
          <t/>
        </is>
      </c>
      <c r="BS188" s="209" t="inlineStr">
        <is>
          <t>Completed</t>
        </is>
      </c>
      <c r="BT188" s="210" t="n">
        <v>42983.0</v>
      </c>
      <c r="BU188" s="211" t="n">
        <v>5.1</v>
      </c>
      <c r="BV188" s="212" t="inlineStr">
        <is>
          <t>Actual</t>
        </is>
      </c>
      <c r="BW188" s="213" t="inlineStr">
        <is>
          <t/>
        </is>
      </c>
      <c r="BX188" s="214" t="inlineStr">
        <is>
          <t/>
        </is>
      </c>
      <c r="BY188" s="215" t="inlineStr">
        <is>
          <t>Early Stage VC</t>
        </is>
      </c>
      <c r="BZ188" s="216" t="inlineStr">
        <is>
          <t>Series A</t>
        </is>
      </c>
      <c r="CA188" s="217" t="inlineStr">
        <is>
          <t/>
        </is>
      </c>
      <c r="CB188" s="218" t="inlineStr">
        <is>
          <t>Venture Capital</t>
        </is>
      </c>
      <c r="CC188" s="219" t="inlineStr">
        <is>
          <t/>
        </is>
      </c>
      <c r="CD188" s="220" t="inlineStr">
        <is>
          <t/>
        </is>
      </c>
      <c r="CE188" s="221" t="inlineStr">
        <is>
          <t/>
        </is>
      </c>
      <c r="CF188" s="222" t="inlineStr">
        <is>
          <t>Completed</t>
        </is>
      </c>
      <c r="CG188" s="223" t="inlineStr">
        <is>
          <t>0,84%</t>
        </is>
      </c>
      <c r="CH188" s="224" t="inlineStr">
        <is>
          <t>94</t>
        </is>
      </c>
      <c r="CI188" s="225" t="inlineStr">
        <is>
          <t>-0,06%</t>
        </is>
      </c>
      <c r="CJ188" s="226" t="inlineStr">
        <is>
          <t>-6,89%</t>
        </is>
      </c>
      <c r="CK188" s="227" t="inlineStr">
        <is>
          <t>1,10%</t>
        </is>
      </c>
      <c r="CL188" s="228" t="inlineStr">
        <is>
          <t>95</t>
        </is>
      </c>
      <c r="CM188" s="229" t="inlineStr">
        <is>
          <t>0,58%</t>
        </is>
      </c>
      <c r="CN188" s="230" t="inlineStr">
        <is>
          <t>91</t>
        </is>
      </c>
      <c r="CO188" s="231" t="inlineStr">
        <is>
          <t>0,00%</t>
        </is>
      </c>
      <c r="CP188" s="232" t="inlineStr">
        <is>
          <t>37</t>
        </is>
      </c>
      <c r="CQ188" s="233" t="inlineStr">
        <is>
          <t>2,21%</t>
        </is>
      </c>
      <c r="CR188" s="234" t="inlineStr">
        <is>
          <t>96</t>
        </is>
      </c>
      <c r="CS188" s="235" t="inlineStr">
        <is>
          <t>0,48%</t>
        </is>
      </c>
      <c r="CT188" s="236" t="inlineStr">
        <is>
          <t>86</t>
        </is>
      </c>
      <c r="CU188" s="237" t="inlineStr">
        <is>
          <t>0,67%</t>
        </is>
      </c>
      <c r="CV188" s="238" t="inlineStr">
        <is>
          <t>94</t>
        </is>
      </c>
      <c r="CW188" s="239" t="inlineStr">
        <is>
          <t>1,78x</t>
        </is>
      </c>
      <c r="CX188" s="240" t="inlineStr">
        <is>
          <t>62</t>
        </is>
      </c>
      <c r="CY188" s="241" t="inlineStr">
        <is>
          <t>0,01x</t>
        </is>
      </c>
      <c r="CZ188" s="242" t="inlineStr">
        <is>
          <t>0,41%</t>
        </is>
      </c>
      <c r="DA188" s="243" t="inlineStr">
        <is>
          <t>2,40x</t>
        </is>
      </c>
      <c r="DB188" s="244" t="inlineStr">
        <is>
          <t>70</t>
        </is>
      </c>
      <c r="DC188" s="245" t="inlineStr">
        <is>
          <t>1,16x</t>
        </is>
      </c>
      <c r="DD188" s="246" t="inlineStr">
        <is>
          <t>51</t>
        </is>
      </c>
      <c r="DE188" s="247" t="inlineStr">
        <is>
          <t>0,43x</t>
        </is>
      </c>
      <c r="DF188" s="248" t="inlineStr">
        <is>
          <t>30</t>
        </is>
      </c>
      <c r="DG188" s="249" t="inlineStr">
        <is>
          <t>4,36x</t>
        </is>
      </c>
      <c r="DH188" s="250" t="inlineStr">
        <is>
          <t>77</t>
        </is>
      </c>
      <c r="DI188" s="251" t="inlineStr">
        <is>
          <t>1,14x</t>
        </is>
      </c>
      <c r="DJ188" s="252" t="inlineStr">
        <is>
          <t>53</t>
        </is>
      </c>
      <c r="DK188" s="253" t="inlineStr">
        <is>
          <t>1,19x</t>
        </is>
      </c>
      <c r="DL188" s="254" t="inlineStr">
        <is>
          <t>54</t>
        </is>
      </c>
      <c r="DM188" s="255" t="inlineStr">
        <is>
          <t>184</t>
        </is>
      </c>
      <c r="DN188" s="256" t="inlineStr">
        <is>
          <t>-121</t>
        </is>
      </c>
      <c r="DO188" s="257" t="inlineStr">
        <is>
          <t>-39,67%</t>
        </is>
      </c>
      <c r="DP188" s="258" t="inlineStr">
        <is>
          <t>900</t>
        </is>
      </c>
      <c r="DQ188" s="259" t="inlineStr">
        <is>
          <t>12</t>
        </is>
      </c>
      <c r="DR188" s="260" t="inlineStr">
        <is>
          <t>1,35%</t>
        </is>
      </c>
      <c r="DS188" s="261" t="inlineStr">
        <is>
          <t>156</t>
        </is>
      </c>
      <c r="DT188" s="262" t="inlineStr">
        <is>
          <t>2</t>
        </is>
      </c>
      <c r="DU188" s="263" t="inlineStr">
        <is>
          <t>1,30%</t>
        </is>
      </c>
      <c r="DV188" s="264" t="inlineStr">
        <is>
          <t>441</t>
        </is>
      </c>
      <c r="DW188" s="265" t="inlineStr">
        <is>
          <t>8</t>
        </is>
      </c>
      <c r="DX188" s="266" t="inlineStr">
        <is>
          <t>1,85%</t>
        </is>
      </c>
      <c r="DY188" s="267" t="inlineStr">
        <is>
          <t>PitchBook Research</t>
        </is>
      </c>
      <c r="DZ188" s="786">
        <f>HYPERLINK("https://my.pitchbook.com?c=126199-27", "View company online")</f>
      </c>
    </row>
    <row r="189">
      <c r="A189" s="9" t="inlineStr">
        <is>
          <t>98998-57</t>
        </is>
      </c>
      <c r="B189" s="10" t="inlineStr">
        <is>
          <t>Jobbatical</t>
        </is>
      </c>
      <c r="C189" s="11" t="inlineStr">
        <is>
          <t/>
        </is>
      </c>
      <c r="D189" s="12" t="inlineStr">
        <is>
          <t/>
        </is>
      </c>
      <c r="E189" s="13" t="inlineStr">
        <is>
          <t>98998-57</t>
        </is>
      </c>
      <c r="F189" s="14" t="inlineStr">
        <is>
          <t>Developer of an online job portal designed to connect job seekers with companies in search of talent around the world. The company's recruitment platform connects globally minded companies with a community of ready-to-relocate tech, business and creative talent, enabling users to find a tech, business or creative job anywhere in the world.</t>
        </is>
      </c>
      <c r="G189" s="15" t="inlineStr">
        <is>
          <t>Business Products and Services (B2B)</t>
        </is>
      </c>
      <c r="H189" s="16" t="inlineStr">
        <is>
          <t>Commercial Services</t>
        </is>
      </c>
      <c r="I189" s="17" t="inlineStr">
        <is>
          <t>Human Capital Services</t>
        </is>
      </c>
      <c r="J189" s="18" t="inlineStr">
        <is>
          <t>Human Capital Services*; Social/Platform Software</t>
        </is>
      </c>
      <c r="K189" s="19" t="inlineStr">
        <is>
          <t>SaaS</t>
        </is>
      </c>
      <c r="L189" s="20" t="inlineStr">
        <is>
          <t>Venture Capital-Backed</t>
        </is>
      </c>
      <c r="M189" s="21" t="n">
        <v>6.9</v>
      </c>
      <c r="N189" s="22" t="inlineStr">
        <is>
          <t>Generating Revenue</t>
        </is>
      </c>
      <c r="O189" s="23" t="inlineStr">
        <is>
          <t>Privately Held (backing)</t>
        </is>
      </c>
      <c r="P189" s="24" t="inlineStr">
        <is>
          <t>Venture Capital</t>
        </is>
      </c>
      <c r="Q189" s="25" t="inlineStr">
        <is>
          <t>www.jobbatical.com</t>
        </is>
      </c>
      <c r="R189" s="26" t="n">
        <v>25.0</v>
      </c>
      <c r="S189" s="27" t="inlineStr">
        <is>
          <t/>
        </is>
      </c>
      <c r="T189" s="28" t="inlineStr">
        <is>
          <t/>
        </is>
      </c>
      <c r="U189" s="29" t="n">
        <v>2014.0</v>
      </c>
      <c r="V189" s="30" t="inlineStr">
        <is>
          <t/>
        </is>
      </c>
      <c r="W189" s="31" t="inlineStr">
        <is>
          <t/>
        </is>
      </c>
      <c r="X189" s="32" t="inlineStr">
        <is>
          <t/>
        </is>
      </c>
      <c r="Y189" s="33" t="n">
        <v>0.00919</v>
      </c>
      <c r="Z189" s="34" t="inlineStr">
        <is>
          <t/>
        </is>
      </c>
      <c r="AA189" s="35" t="n">
        <v>-0.42262</v>
      </c>
      <c r="AB189" s="36" t="inlineStr">
        <is>
          <t/>
        </is>
      </c>
      <c r="AC189" s="37" t="inlineStr">
        <is>
          <t/>
        </is>
      </c>
      <c r="AD189" s="38" t="inlineStr">
        <is>
          <t>FY 2015</t>
        </is>
      </c>
      <c r="AE189" s="39" t="inlineStr">
        <is>
          <t>83371-69P</t>
        </is>
      </c>
      <c r="AF189" s="40" t="inlineStr">
        <is>
          <t>Karoli Hindriks</t>
        </is>
      </c>
      <c r="AG189" s="41" t="inlineStr">
        <is>
          <t>Co-Founder &amp; Chief Executive Officer</t>
        </is>
      </c>
      <c r="AH189" s="42" t="inlineStr">
        <is>
          <t>karoli@jobbatical.com</t>
        </is>
      </c>
      <c r="AI189" s="43" t="inlineStr">
        <is>
          <t/>
        </is>
      </c>
      <c r="AJ189" s="44" t="inlineStr">
        <is>
          <t>Tallinn, Estonia</t>
        </is>
      </c>
      <c r="AK189" s="45" t="inlineStr">
        <is>
          <t>Niine 11</t>
        </is>
      </c>
      <c r="AL189" s="46" t="inlineStr">
        <is>
          <t/>
        </is>
      </c>
      <c r="AM189" s="47" t="inlineStr">
        <is>
          <t>Tallinn</t>
        </is>
      </c>
      <c r="AN189" s="48" t="inlineStr">
        <is>
          <t/>
        </is>
      </c>
      <c r="AO189" s="49" t="inlineStr">
        <is>
          <t>10414</t>
        </is>
      </c>
      <c r="AP189" s="50" t="inlineStr">
        <is>
          <t>Estonia</t>
        </is>
      </c>
      <c r="AQ189" s="51" t="inlineStr">
        <is>
          <t/>
        </is>
      </c>
      <c r="AR189" s="52" t="inlineStr">
        <is>
          <t/>
        </is>
      </c>
      <c r="AS189" s="53" t="inlineStr">
        <is>
          <t>hello@jobbatical.com</t>
        </is>
      </c>
      <c r="AT189" s="54" t="inlineStr">
        <is>
          <t>Europe</t>
        </is>
      </c>
      <c r="AU189" s="55" t="inlineStr">
        <is>
          <t>Northern Europe</t>
        </is>
      </c>
      <c r="AV189" s="56" t="inlineStr">
        <is>
          <t>The company raised $4 million of Series A venture funding in a deal led by Mistletoe on September 28, 2017. Union Square Ventures, AirTree Ventures and Tera Ventures also participated in the round. This funding round will help the company expand efforts with business partners in the Asia-Pacific, a market primed for job growth and entrepreneurship. Previously, the company raised $3 million of venture funding in deal led by Union Square Ventures and LocalGlobe on November 21, 2016.</t>
        </is>
      </c>
      <c r="AW189" s="57" t="inlineStr">
        <is>
          <t>AirTree Ventures, Camelus Invest, Ekspress Grupp, Gunnar Kobin, ImCap Finland, Indrek Prants, Joel Aasmae, LocalGlobe, Mistletoe, SmartCap, Tera Ventures, Trind Investments, Union Square Ventures</t>
        </is>
      </c>
      <c r="AX189" s="58" t="n">
        <v>13.0</v>
      </c>
      <c r="AY189" s="59" t="inlineStr">
        <is>
          <t/>
        </is>
      </c>
      <c r="AZ189" s="60" t="inlineStr">
        <is>
          <t/>
        </is>
      </c>
      <c r="BA189" s="61" t="inlineStr">
        <is>
          <t/>
        </is>
      </c>
      <c r="BB189" s="62" t="inlineStr">
        <is>
          <t>AirTree Ventures (www.airtree.vc), Ekspress Grupp (www.egrupp.ee), LocalGlobe (www.localglobe.vc), Mistletoe (www.mistletoe.co), SmartCap (www.smartcap.ee), Tera Ventures (www.tera.vc), Union Square Ventures (www.usv.com)</t>
        </is>
      </c>
      <c r="BC189" s="63" t="inlineStr">
        <is>
          <t/>
        </is>
      </c>
      <c r="BD189" s="64" t="inlineStr">
        <is>
          <t/>
        </is>
      </c>
      <c r="BE189" s="65" t="inlineStr">
        <is>
          <t>Gunderson Dettmer (Legal Advisor), Hedman Partners (Legal Advisor)</t>
        </is>
      </c>
      <c r="BF189" s="66" t="inlineStr">
        <is>
          <t>Hedman Partners (Legal Advisor), Gunderson Dettmer (Legal Advisor)</t>
        </is>
      </c>
      <c r="BG189" s="67" t="n">
        <v>41942.0</v>
      </c>
      <c r="BH189" s="68" t="n">
        <v>0.26</v>
      </c>
      <c r="BI189" s="69" t="inlineStr">
        <is>
          <t>Actual</t>
        </is>
      </c>
      <c r="BJ189" s="70" t="inlineStr">
        <is>
          <t/>
        </is>
      </c>
      <c r="BK189" s="71" t="inlineStr">
        <is>
          <t/>
        </is>
      </c>
      <c r="BL189" s="72" t="inlineStr">
        <is>
          <t>Seed Round</t>
        </is>
      </c>
      <c r="BM189" s="73" t="inlineStr">
        <is>
          <t>Seed</t>
        </is>
      </c>
      <c r="BN189" s="74" t="inlineStr">
        <is>
          <t/>
        </is>
      </c>
      <c r="BO189" s="75" t="inlineStr">
        <is>
          <t>Venture Capital</t>
        </is>
      </c>
      <c r="BP189" s="76" t="inlineStr">
        <is>
          <t/>
        </is>
      </c>
      <c r="BQ189" s="77" t="inlineStr">
        <is>
          <t/>
        </is>
      </c>
      <c r="BR189" s="78" t="inlineStr">
        <is>
          <t/>
        </is>
      </c>
      <c r="BS189" s="79" t="inlineStr">
        <is>
          <t>Completed</t>
        </is>
      </c>
      <c r="BT189" s="80" t="n">
        <v>43006.0</v>
      </c>
      <c r="BU189" s="81" t="n">
        <v>3.36</v>
      </c>
      <c r="BV189" s="82" t="inlineStr">
        <is>
          <t>Actual</t>
        </is>
      </c>
      <c r="BW189" s="83" t="inlineStr">
        <is>
          <t/>
        </is>
      </c>
      <c r="BX189" s="84" t="inlineStr">
        <is>
          <t/>
        </is>
      </c>
      <c r="BY189" s="85" t="inlineStr">
        <is>
          <t>Early Stage VC</t>
        </is>
      </c>
      <c r="BZ189" s="86" t="inlineStr">
        <is>
          <t>Series A</t>
        </is>
      </c>
      <c r="CA189" s="87" t="inlineStr">
        <is>
          <t/>
        </is>
      </c>
      <c r="CB189" s="88" t="inlineStr">
        <is>
          <t>Venture Capital</t>
        </is>
      </c>
      <c r="CC189" s="89" t="inlineStr">
        <is>
          <t/>
        </is>
      </c>
      <c r="CD189" s="90" t="inlineStr">
        <is>
          <t/>
        </is>
      </c>
      <c r="CE189" s="91" t="inlineStr">
        <is>
          <t/>
        </is>
      </c>
      <c r="CF189" s="92" t="inlineStr">
        <is>
          <t>Completed</t>
        </is>
      </c>
      <c r="CG189" s="93" t="inlineStr">
        <is>
          <t>-4,69%</t>
        </is>
      </c>
      <c r="CH189" s="94" t="inlineStr">
        <is>
          <t>4</t>
        </is>
      </c>
      <c r="CI189" s="95" t="inlineStr">
        <is>
          <t>-0,04%</t>
        </is>
      </c>
      <c r="CJ189" s="96" t="inlineStr">
        <is>
          <t>-0,90%</t>
        </is>
      </c>
      <c r="CK189" s="97" t="inlineStr">
        <is>
          <t>-9,81%</t>
        </is>
      </c>
      <c r="CL189" s="98" t="inlineStr">
        <is>
          <t>3</t>
        </is>
      </c>
      <c r="CM189" s="99" t="inlineStr">
        <is>
          <t>0,42%</t>
        </is>
      </c>
      <c r="CN189" s="100" t="inlineStr">
        <is>
          <t>86</t>
        </is>
      </c>
      <c r="CO189" s="101" t="inlineStr">
        <is>
          <t>-19,61%</t>
        </is>
      </c>
      <c r="CP189" s="102" t="inlineStr">
        <is>
          <t>5</t>
        </is>
      </c>
      <c r="CQ189" s="103" t="inlineStr">
        <is>
          <t>0,00%</t>
        </is>
      </c>
      <c r="CR189" s="104" t="inlineStr">
        <is>
          <t>20</t>
        </is>
      </c>
      <c r="CS189" s="105" t="inlineStr">
        <is>
          <t>0,46%</t>
        </is>
      </c>
      <c r="CT189" s="106" t="inlineStr">
        <is>
          <t>86</t>
        </is>
      </c>
      <c r="CU189" s="107" t="inlineStr">
        <is>
          <t>0,37%</t>
        </is>
      </c>
      <c r="CV189" s="108" t="inlineStr">
        <is>
          <t>87</t>
        </is>
      </c>
      <c r="CW189" s="109" t="inlineStr">
        <is>
          <t>41,04x</t>
        </is>
      </c>
      <c r="CX189" s="110" t="inlineStr">
        <is>
          <t>96</t>
        </is>
      </c>
      <c r="CY189" s="111" t="inlineStr">
        <is>
          <t>-0,14x</t>
        </is>
      </c>
      <c r="CZ189" s="112" t="inlineStr">
        <is>
          <t>-0,34%</t>
        </is>
      </c>
      <c r="DA189" s="113" t="inlineStr">
        <is>
          <t>7,36x</t>
        </is>
      </c>
      <c r="DB189" s="114" t="inlineStr">
        <is>
          <t>86</t>
        </is>
      </c>
      <c r="DC189" s="115" t="inlineStr">
        <is>
          <t>74,72x</t>
        </is>
      </c>
      <c r="DD189" s="116" t="inlineStr">
        <is>
          <t>96</t>
        </is>
      </c>
      <c r="DE189" s="117" t="inlineStr">
        <is>
          <t>13,13x</t>
        </is>
      </c>
      <c r="DF189" s="118" t="inlineStr">
        <is>
          <t>90</t>
        </is>
      </c>
      <c r="DG189" s="119" t="inlineStr">
        <is>
          <t>1,58x</t>
        </is>
      </c>
      <c r="DH189" s="120" t="inlineStr">
        <is>
          <t>60</t>
        </is>
      </c>
      <c r="DI189" s="121" t="inlineStr">
        <is>
          <t>139,36x</t>
        </is>
      </c>
      <c r="DJ189" s="122" t="inlineStr">
        <is>
          <t>96</t>
        </is>
      </c>
      <c r="DK189" s="123" t="inlineStr">
        <is>
          <t>10,08x</t>
        </is>
      </c>
      <c r="DL189" s="124" t="inlineStr">
        <is>
          <t>87</t>
        </is>
      </c>
      <c r="DM189" s="125" t="inlineStr">
        <is>
          <t>4.869</t>
        </is>
      </c>
      <c r="DN189" s="126" t="inlineStr">
        <is>
          <t>20</t>
        </is>
      </c>
      <c r="DO189" s="127" t="inlineStr">
        <is>
          <t>0,41%</t>
        </is>
      </c>
      <c r="DP189" s="128" t="inlineStr">
        <is>
          <t>110.230</t>
        </is>
      </c>
      <c r="DQ189" s="129" t="inlineStr">
        <is>
          <t>487</t>
        </is>
      </c>
      <c r="DR189" s="130" t="inlineStr">
        <is>
          <t>0,44%</t>
        </is>
      </c>
      <c r="DS189" s="131" t="inlineStr">
        <is>
          <t>57</t>
        </is>
      </c>
      <c r="DT189" s="132" t="inlineStr">
        <is>
          <t>0</t>
        </is>
      </c>
      <c r="DU189" s="133" t="inlineStr">
        <is>
          <t>0,00%</t>
        </is>
      </c>
      <c r="DV189" s="134" t="inlineStr">
        <is>
          <t>3.762</t>
        </is>
      </c>
      <c r="DW189" s="135" t="inlineStr">
        <is>
          <t>3</t>
        </is>
      </c>
      <c r="DX189" s="136" t="inlineStr">
        <is>
          <t>0,08%</t>
        </is>
      </c>
      <c r="DY189" s="137" t="inlineStr">
        <is>
          <t>PitchBook Research</t>
        </is>
      </c>
      <c r="DZ189" s="785">
        <f>HYPERLINK("https://my.pitchbook.com?c=98998-57", "View company online")</f>
      </c>
    </row>
    <row r="190">
      <c r="A190" s="139" t="inlineStr">
        <is>
          <t>153411-49</t>
        </is>
      </c>
      <c r="B190" s="140" t="inlineStr">
        <is>
          <t>InfoSum</t>
        </is>
      </c>
      <c r="C190" s="141" t="inlineStr">
        <is>
          <t/>
        </is>
      </c>
      <c r="D190" s="142" t="inlineStr">
        <is>
          <t/>
        </is>
      </c>
      <c r="E190" s="143" t="inlineStr">
        <is>
          <t>153411-49</t>
        </is>
      </c>
      <c r="F190" s="144" t="inlineStr">
        <is>
          <t>Developer of a business analytic software designed to rebuild how databases deal with consumer information. The company's business analytic software provides a system that processes, aggregates and connects the numerous pools of consumer data available with them keeping privacy intact, enabling enterprises to identify key trends and insights into the behavior of their customers and prospects.</t>
        </is>
      </c>
      <c r="G190" s="145" t="inlineStr">
        <is>
          <t>Information Technology</t>
        </is>
      </c>
      <c r="H190" s="146" t="inlineStr">
        <is>
          <t>Software</t>
        </is>
      </c>
      <c r="I190" s="147" t="inlineStr">
        <is>
          <t>Network Management Software</t>
        </is>
      </c>
      <c r="J190" s="148" t="inlineStr">
        <is>
          <t>Network Management Software*; Media and Information Services (B2B); Other IT Services</t>
        </is>
      </c>
      <c r="K190" s="149" t="inlineStr">
        <is>
          <t>Big Data, Cybersecurity</t>
        </is>
      </c>
      <c r="L190" s="150" t="inlineStr">
        <is>
          <t>Venture Capital-Backed</t>
        </is>
      </c>
      <c r="M190" s="151" t="n">
        <v>6.9</v>
      </c>
      <c r="N190" s="152" t="inlineStr">
        <is>
          <t>Startup</t>
        </is>
      </c>
      <c r="O190" s="153" t="inlineStr">
        <is>
          <t>Privately Held (backing)</t>
        </is>
      </c>
      <c r="P190" s="154" t="inlineStr">
        <is>
          <t>Venture Capital</t>
        </is>
      </c>
      <c r="Q190" s="155" t="inlineStr">
        <is>
          <t>www.infosum.com</t>
        </is>
      </c>
      <c r="R190" s="156" t="n">
        <v>4.0</v>
      </c>
      <c r="S190" s="157" t="inlineStr">
        <is>
          <t/>
        </is>
      </c>
      <c r="T190" s="158" t="inlineStr">
        <is>
          <t/>
        </is>
      </c>
      <c r="U190" s="159" t="n">
        <v>2015.0</v>
      </c>
      <c r="V190" s="160" t="inlineStr">
        <is>
          <t/>
        </is>
      </c>
      <c r="W190" s="161" t="inlineStr">
        <is>
          <t/>
        </is>
      </c>
      <c r="X190" s="162" t="inlineStr">
        <is>
          <t/>
        </is>
      </c>
      <c r="Y190" s="163" t="inlineStr">
        <is>
          <t/>
        </is>
      </c>
      <c r="Z190" s="164" t="inlineStr">
        <is>
          <t/>
        </is>
      </c>
      <c r="AA190" s="165" t="inlineStr">
        <is>
          <t/>
        </is>
      </c>
      <c r="AB190" s="166" t="inlineStr">
        <is>
          <t/>
        </is>
      </c>
      <c r="AC190" s="167" t="inlineStr">
        <is>
          <t/>
        </is>
      </c>
      <c r="AD190" s="168" t="inlineStr">
        <is>
          <t/>
        </is>
      </c>
      <c r="AE190" s="169" t="inlineStr">
        <is>
          <t>40643-38P</t>
        </is>
      </c>
      <c r="AF190" s="170" t="inlineStr">
        <is>
          <t>Nicholas Halstead</t>
        </is>
      </c>
      <c r="AG190" s="171" t="inlineStr">
        <is>
          <t>Founder, Chief Executive Officer &amp; Board Member</t>
        </is>
      </c>
      <c r="AH190" s="172" t="inlineStr">
        <is>
          <t>nick@cognitivelogic.com</t>
        </is>
      </c>
      <c r="AI190" s="173" t="inlineStr">
        <is>
          <t>+44 (0)79 8541 1011</t>
        </is>
      </c>
      <c r="AJ190" s="174" t="inlineStr">
        <is>
          <t>Basingstoke, United Kingdom</t>
        </is>
      </c>
      <c r="AK190" s="175" t="inlineStr">
        <is>
          <t>Clifton House</t>
        </is>
      </c>
      <c r="AL190" s="176" t="inlineStr">
        <is>
          <t>Bunnian Place</t>
        </is>
      </c>
      <c r="AM190" s="177" t="inlineStr">
        <is>
          <t>Basingstoke</t>
        </is>
      </c>
      <c r="AN190" s="178" t="inlineStr">
        <is>
          <t>England</t>
        </is>
      </c>
      <c r="AO190" s="179" t="inlineStr">
        <is>
          <t>RG21 7JE</t>
        </is>
      </c>
      <c r="AP190" s="180" t="inlineStr">
        <is>
          <t>United Kingdom</t>
        </is>
      </c>
      <c r="AQ190" s="181" t="inlineStr">
        <is>
          <t>+44 (0)79 8541 1011</t>
        </is>
      </c>
      <c r="AR190" s="182" t="inlineStr">
        <is>
          <t/>
        </is>
      </c>
      <c r="AS190" s="183" t="inlineStr">
        <is>
          <t/>
        </is>
      </c>
      <c r="AT190" s="184" t="inlineStr">
        <is>
          <t>Europe</t>
        </is>
      </c>
      <c r="AU190" s="185" t="inlineStr">
        <is>
          <t>Western Europe</t>
        </is>
      </c>
      <c r="AV190" s="186" t="inlineStr">
        <is>
          <t>The company raised $5 million of Series Seed 2 funding from LocalGlobe, Mosaic Ventures and Upfront Ventures on September 14, 2017. IA Ventures and other undisclosed investors also participated. The company intends to use the funds to build the senior management team and bring its first products to market. The company raised $8 million in funding to date.</t>
        </is>
      </c>
      <c r="AW190" s="187" t="inlineStr">
        <is>
          <t>IA Ventures, LocalGlobe, Mosaic Ventures, Upfront Ventures</t>
        </is>
      </c>
      <c r="AX190" s="188" t="n">
        <v>4.0</v>
      </c>
      <c r="AY190" s="189" t="inlineStr">
        <is>
          <t/>
        </is>
      </c>
      <c r="AZ190" s="190" t="inlineStr">
        <is>
          <t/>
        </is>
      </c>
      <c r="BA190" s="191" t="inlineStr">
        <is>
          <t/>
        </is>
      </c>
      <c r="BB190" s="192" t="inlineStr">
        <is>
          <t>IA Ventures (www.iaventures.com), LocalGlobe (www.localglobe.vc), Mosaic Ventures (www.mosaicventures.com), Upfront Ventures (www.upfront.com)</t>
        </is>
      </c>
      <c r="BC190" s="193" t="inlineStr">
        <is>
          <t/>
        </is>
      </c>
      <c r="BD190" s="194" t="inlineStr">
        <is>
          <t/>
        </is>
      </c>
      <c r="BE190" s="195" t="inlineStr">
        <is>
          <t>Orrick, Herrington &amp; Sutcliffe (Legal Advisor)</t>
        </is>
      </c>
      <c r="BF190" s="196" t="inlineStr">
        <is>
          <t>Orrick, Herrington &amp; Sutcliffe (Legal Advisor)</t>
        </is>
      </c>
      <c r="BG190" s="197" t="n">
        <v>42409.0</v>
      </c>
      <c r="BH190" s="198" t="n">
        <v>2.7</v>
      </c>
      <c r="BI190" s="199" t="inlineStr">
        <is>
          <t>Actual</t>
        </is>
      </c>
      <c r="BJ190" s="200" t="inlineStr">
        <is>
          <t/>
        </is>
      </c>
      <c r="BK190" s="201" t="inlineStr">
        <is>
          <t/>
        </is>
      </c>
      <c r="BL190" s="202" t="inlineStr">
        <is>
          <t>Seed Round</t>
        </is>
      </c>
      <c r="BM190" s="203" t="inlineStr">
        <is>
          <t>Seed</t>
        </is>
      </c>
      <c r="BN190" s="204" t="inlineStr">
        <is>
          <t/>
        </is>
      </c>
      <c r="BO190" s="205" t="inlineStr">
        <is>
          <t>Venture Capital</t>
        </is>
      </c>
      <c r="BP190" s="206" t="inlineStr">
        <is>
          <t/>
        </is>
      </c>
      <c r="BQ190" s="207" t="inlineStr">
        <is>
          <t/>
        </is>
      </c>
      <c r="BR190" s="208" t="inlineStr">
        <is>
          <t/>
        </is>
      </c>
      <c r="BS190" s="209" t="inlineStr">
        <is>
          <t>Completed</t>
        </is>
      </c>
      <c r="BT190" s="210" t="n">
        <v>42992.0</v>
      </c>
      <c r="BU190" s="211" t="n">
        <v>4.19</v>
      </c>
      <c r="BV190" s="212" t="inlineStr">
        <is>
          <t>Actual</t>
        </is>
      </c>
      <c r="BW190" s="213" t="inlineStr">
        <is>
          <t/>
        </is>
      </c>
      <c r="BX190" s="214" t="inlineStr">
        <is>
          <t/>
        </is>
      </c>
      <c r="BY190" s="215" t="inlineStr">
        <is>
          <t>Seed Round</t>
        </is>
      </c>
      <c r="BZ190" s="216" t="inlineStr">
        <is>
          <t>Series 2</t>
        </is>
      </c>
      <c r="CA190" s="217" t="inlineStr">
        <is>
          <t/>
        </is>
      </c>
      <c r="CB190" s="218" t="inlineStr">
        <is>
          <t>Venture Capital</t>
        </is>
      </c>
      <c r="CC190" s="219" t="inlineStr">
        <is>
          <t/>
        </is>
      </c>
      <c r="CD190" s="220" t="inlineStr">
        <is>
          <t/>
        </is>
      </c>
      <c r="CE190" s="221" t="inlineStr">
        <is>
          <t/>
        </is>
      </c>
      <c r="CF190" s="222" t="inlineStr">
        <is>
          <t>Completed</t>
        </is>
      </c>
      <c r="CG190" s="223" t="inlineStr">
        <is>
          <t>0,00%</t>
        </is>
      </c>
      <c r="CH190" s="224" t="inlineStr">
        <is>
          <t>33</t>
        </is>
      </c>
      <c r="CI190" s="225" t="inlineStr">
        <is>
          <t>0,00%</t>
        </is>
      </c>
      <c r="CJ190" s="226" t="inlineStr">
        <is>
          <t>0,00%</t>
        </is>
      </c>
      <c r="CK190" s="227" t="inlineStr">
        <is>
          <t>0,00%</t>
        </is>
      </c>
      <c r="CL190" s="228" t="inlineStr">
        <is>
          <t>28</t>
        </is>
      </c>
      <c r="CM190" s="229" t="inlineStr">
        <is>
          <t/>
        </is>
      </c>
      <c r="CN190" s="230" t="inlineStr">
        <is>
          <t/>
        </is>
      </c>
      <c r="CO190" s="231" t="inlineStr">
        <is>
          <t>0,00%</t>
        </is>
      </c>
      <c r="CP190" s="232" t="inlineStr">
        <is>
          <t>37</t>
        </is>
      </c>
      <c r="CQ190" s="233" t="inlineStr">
        <is>
          <t>0,00%</t>
        </is>
      </c>
      <c r="CR190" s="234" t="inlineStr">
        <is>
          <t>20</t>
        </is>
      </c>
      <c r="CS190" s="235" t="inlineStr">
        <is>
          <t/>
        </is>
      </c>
      <c r="CT190" s="236" t="inlineStr">
        <is>
          <t/>
        </is>
      </c>
      <c r="CU190" s="237" t="inlineStr">
        <is>
          <t/>
        </is>
      </c>
      <c r="CV190" s="238" t="inlineStr">
        <is>
          <t/>
        </is>
      </c>
      <c r="CW190" s="239" t="inlineStr">
        <is>
          <t>1,09x</t>
        </is>
      </c>
      <c r="CX190" s="240" t="inlineStr">
        <is>
          <t>51</t>
        </is>
      </c>
      <c r="CY190" s="241" t="inlineStr">
        <is>
          <t>0,00x</t>
        </is>
      </c>
      <c r="CZ190" s="242" t="inlineStr">
        <is>
          <t>0,00%</t>
        </is>
      </c>
      <c r="DA190" s="243" t="inlineStr">
        <is>
          <t>1,09x</t>
        </is>
      </c>
      <c r="DB190" s="244" t="inlineStr">
        <is>
          <t>53</t>
        </is>
      </c>
      <c r="DC190" s="245" t="inlineStr">
        <is>
          <t/>
        </is>
      </c>
      <c r="DD190" s="246" t="inlineStr">
        <is>
          <t/>
        </is>
      </c>
      <c r="DE190" s="247" t="inlineStr">
        <is>
          <t>1,18x</t>
        </is>
      </c>
      <c r="DF190" s="248" t="inlineStr">
        <is>
          <t>54</t>
        </is>
      </c>
      <c r="DG190" s="249" t="inlineStr">
        <is>
          <t>1,00x</t>
        </is>
      </c>
      <c r="DH190" s="250" t="inlineStr">
        <is>
          <t>50</t>
        </is>
      </c>
      <c r="DI190" s="251" t="inlineStr">
        <is>
          <t/>
        </is>
      </c>
      <c r="DJ190" s="252" t="inlineStr">
        <is>
          <t/>
        </is>
      </c>
      <c r="DK190" s="253" t="inlineStr">
        <is>
          <t/>
        </is>
      </c>
      <c r="DL190" s="254" t="inlineStr">
        <is>
          <t/>
        </is>
      </c>
      <c r="DM190" s="255" t="inlineStr">
        <is>
          <t>433</t>
        </is>
      </c>
      <c r="DN190" s="256" t="inlineStr">
        <is>
          <t>11</t>
        </is>
      </c>
      <c r="DO190" s="257" t="inlineStr">
        <is>
          <t>2,61%</t>
        </is>
      </c>
      <c r="DP190" s="258" t="inlineStr">
        <is>
          <t>124</t>
        </is>
      </c>
      <c r="DQ190" s="259" t="inlineStr">
        <is>
          <t>0</t>
        </is>
      </c>
      <c r="DR190" s="260" t="inlineStr">
        <is>
          <t>0,00%</t>
        </is>
      </c>
      <c r="DS190" s="261" t="inlineStr">
        <is>
          <t>36</t>
        </is>
      </c>
      <c r="DT190" s="262" t="inlineStr">
        <is>
          <t>0</t>
        </is>
      </c>
      <c r="DU190" s="263" t="inlineStr">
        <is>
          <t>0,00%</t>
        </is>
      </c>
      <c r="DV190" s="264" t="inlineStr">
        <is>
          <t>278</t>
        </is>
      </c>
      <c r="DW190" s="265" t="inlineStr">
        <is>
          <t>3</t>
        </is>
      </c>
      <c r="DX190" s="266" t="inlineStr">
        <is>
          <t>1,09%</t>
        </is>
      </c>
      <c r="DY190" s="267" t="inlineStr">
        <is>
          <t>PitchBook Research</t>
        </is>
      </c>
      <c r="DZ190" s="786">
        <f>HYPERLINK("https://my.pitchbook.com?c=153411-49", "View company online")</f>
      </c>
    </row>
    <row r="191">
      <c r="A191" s="9" t="inlineStr">
        <is>
          <t>105752-71</t>
        </is>
      </c>
      <c r="B191" s="10" t="inlineStr">
        <is>
          <t>Norsepower</t>
        </is>
      </c>
      <c r="C191" s="11" t="inlineStr">
        <is>
          <t/>
        </is>
      </c>
      <c r="D191" s="12" t="inlineStr">
        <is>
          <t/>
        </is>
      </c>
      <c r="E191" s="13" t="inlineStr">
        <is>
          <t>105752-71</t>
        </is>
      </c>
      <c r="F191" s="14" t="inlineStr">
        <is>
          <t>Provider of cargo vessel auxiliary wind propulsion systems designed to reduce fuel consumption. The company's Norsepower Rotor Sail Solution is a proven, low-maintenance, easy to use and reliable fuel-saving technology, enabling maritime industries to significantly reduce both fuel costs and greenhouse gas emissions of ships.</t>
        </is>
      </c>
      <c r="G191" s="15" t="inlineStr">
        <is>
          <t>Business Products and Services (B2B)</t>
        </is>
      </c>
      <c r="H191" s="16" t="inlineStr">
        <is>
          <t>Commercial Products</t>
        </is>
      </c>
      <c r="I191" s="17" t="inlineStr">
        <is>
          <t>Industrial Supplies and Parts</t>
        </is>
      </c>
      <c r="J191" s="18" t="inlineStr">
        <is>
          <t>Industrial Supplies and Parts*; Other Energy</t>
        </is>
      </c>
      <c r="K191" s="19" t="inlineStr">
        <is>
          <t>CleanTech</t>
        </is>
      </c>
      <c r="L191" s="20" t="inlineStr">
        <is>
          <t>Venture Capital-Backed</t>
        </is>
      </c>
      <c r="M191" s="21" t="n">
        <v>7.8</v>
      </c>
      <c r="N191" s="22" t="inlineStr">
        <is>
          <t>Generating Revenue/Not Profitable</t>
        </is>
      </c>
      <c r="O191" s="23" t="inlineStr">
        <is>
          <t>Privately Held (backing)</t>
        </is>
      </c>
      <c r="P191" s="24" t="inlineStr">
        <is>
          <t>Venture Capital</t>
        </is>
      </c>
      <c r="Q191" s="25" t="inlineStr">
        <is>
          <t>www.norsepower.com</t>
        </is>
      </c>
      <c r="R191" s="26" t="n">
        <v>5.0</v>
      </c>
      <c r="S191" s="27" t="inlineStr">
        <is>
          <t/>
        </is>
      </c>
      <c r="T191" s="28" t="inlineStr">
        <is>
          <t/>
        </is>
      </c>
      <c r="U191" s="29" t="n">
        <v>2012.0</v>
      </c>
      <c r="V191" s="30" t="inlineStr">
        <is>
          <t/>
        </is>
      </c>
      <c r="W191" s="31" t="inlineStr">
        <is>
          <t/>
        </is>
      </c>
      <c r="X191" s="32" t="inlineStr">
        <is>
          <t/>
        </is>
      </c>
      <c r="Y191" s="33" t="n">
        <v>0.10434</v>
      </c>
      <c r="Z191" s="34" t="inlineStr">
        <is>
          <t/>
        </is>
      </c>
      <c r="AA191" s="35" t="n">
        <v>-0.90116</v>
      </c>
      <c r="AB191" s="36" t="inlineStr">
        <is>
          <t/>
        </is>
      </c>
      <c r="AC191" s="37" t="n">
        <v>-0.89167</v>
      </c>
      <c r="AD191" s="38" t="inlineStr">
        <is>
          <t>FY 2016</t>
        </is>
      </c>
      <c r="AE191" s="39" t="inlineStr">
        <is>
          <t>88346-98P</t>
        </is>
      </c>
      <c r="AF191" s="40" t="inlineStr">
        <is>
          <t>Tuomas Riski</t>
        </is>
      </c>
      <c r="AG191" s="41" t="inlineStr">
        <is>
          <t>Chief Executive Officer &amp; Partner</t>
        </is>
      </c>
      <c r="AH191" s="42" t="inlineStr">
        <is>
          <t>tuomas.riski@norsepower.com</t>
        </is>
      </c>
      <c r="AI191" s="43" t="inlineStr">
        <is>
          <t>+358 (0)50 330 5732</t>
        </is>
      </c>
      <c r="AJ191" s="44" t="inlineStr">
        <is>
          <t>Helsinki, Finland</t>
        </is>
      </c>
      <c r="AK191" s="45" t="inlineStr">
        <is>
          <t>Tallberginkatu 2 A</t>
        </is>
      </c>
      <c r="AL191" s="46" t="inlineStr">
        <is>
          <t/>
        </is>
      </c>
      <c r="AM191" s="47" t="inlineStr">
        <is>
          <t>Helsinki</t>
        </is>
      </c>
      <c r="AN191" s="48" t="inlineStr">
        <is>
          <t/>
        </is>
      </c>
      <c r="AO191" s="49" t="inlineStr">
        <is>
          <t>00180</t>
        </is>
      </c>
      <c r="AP191" s="50" t="inlineStr">
        <is>
          <t>Finland</t>
        </is>
      </c>
      <c r="AQ191" s="51" t="inlineStr">
        <is>
          <t>+358 (0)50 330 5732</t>
        </is>
      </c>
      <c r="AR191" s="52" t="inlineStr">
        <is>
          <t/>
        </is>
      </c>
      <c r="AS191" s="53" t="inlineStr">
        <is>
          <t/>
        </is>
      </c>
      <c r="AT191" s="54" t="inlineStr">
        <is>
          <t>Europe</t>
        </is>
      </c>
      <c r="AU191" s="55" t="inlineStr">
        <is>
          <t>Northern Europe</t>
        </is>
      </c>
      <c r="AV191" s="56" t="inlineStr">
        <is>
          <t>The company raised EUR 2.6 million of venture funding from Tekes and European Commission on September 19, 2017. The company will use the funding to further its research and development of the Norsepower Rotor Sail Solution technology.</t>
        </is>
      </c>
      <c r="AW191" s="57" t="inlineStr">
        <is>
          <t>Eera Industrial Development, European Commission, Finnvera, Horizon 2020, Lifeline Ventures, Mobiserve Holding, Tekes, VNT Management, Wate</t>
        </is>
      </c>
      <c r="AX191" s="58" t="n">
        <v>9.0</v>
      </c>
      <c r="AY191" s="59" t="inlineStr">
        <is>
          <t/>
        </is>
      </c>
      <c r="AZ191" s="60" t="inlineStr">
        <is>
          <t/>
        </is>
      </c>
      <c r="BA191" s="61" t="inlineStr">
        <is>
          <t/>
        </is>
      </c>
      <c r="BB191" s="62" t="inlineStr">
        <is>
          <t>European Commission (ec.europa.eu), Finnvera (www.finnvera.fi), Lifeline Ventures (www.lifelineventures.com), Mobiserve Holding (www.mobiserveholding.com), Tekes (www.tekes.fi), VNT Management (www.vntm.com)</t>
        </is>
      </c>
      <c r="BC191" s="63" t="inlineStr">
        <is>
          <t/>
        </is>
      </c>
      <c r="BD191" s="64" t="inlineStr">
        <is>
          <t/>
        </is>
      </c>
      <c r="BE191" s="65" t="inlineStr">
        <is>
          <t/>
        </is>
      </c>
      <c r="BF191" s="66" t="inlineStr">
        <is>
          <t/>
        </is>
      </c>
      <c r="BG191" s="67" t="n">
        <v>41548.0</v>
      </c>
      <c r="BH191" s="68" t="n">
        <v>2.2</v>
      </c>
      <c r="BI191" s="69" t="inlineStr">
        <is>
          <t>Actual</t>
        </is>
      </c>
      <c r="BJ191" s="70" t="inlineStr">
        <is>
          <t/>
        </is>
      </c>
      <c r="BK191" s="71" t="inlineStr">
        <is>
          <t/>
        </is>
      </c>
      <c r="BL191" s="72" t="inlineStr">
        <is>
          <t>Seed Round</t>
        </is>
      </c>
      <c r="BM191" s="73" t="inlineStr">
        <is>
          <t>Seed</t>
        </is>
      </c>
      <c r="BN191" s="74" t="inlineStr">
        <is>
          <t/>
        </is>
      </c>
      <c r="BO191" s="75" t="inlineStr">
        <is>
          <t>Venture Capital</t>
        </is>
      </c>
      <c r="BP191" s="76" t="inlineStr">
        <is>
          <t/>
        </is>
      </c>
      <c r="BQ191" s="77" t="inlineStr">
        <is>
          <t/>
        </is>
      </c>
      <c r="BR191" s="78" t="inlineStr">
        <is>
          <t/>
        </is>
      </c>
      <c r="BS191" s="79" t="inlineStr">
        <is>
          <t>Completed</t>
        </is>
      </c>
      <c r="BT191" s="80" t="n">
        <v>42997.0</v>
      </c>
      <c r="BU191" s="81" t="n">
        <v>2.6</v>
      </c>
      <c r="BV191" s="82" t="inlineStr">
        <is>
          <t>Actual</t>
        </is>
      </c>
      <c r="BW191" s="83" t="inlineStr">
        <is>
          <t/>
        </is>
      </c>
      <c r="BX191" s="84" t="inlineStr">
        <is>
          <t/>
        </is>
      </c>
      <c r="BY191" s="85" t="inlineStr">
        <is>
          <t>Early Stage VC</t>
        </is>
      </c>
      <c r="BZ191" s="86" t="inlineStr">
        <is>
          <t/>
        </is>
      </c>
      <c r="CA191" s="87" t="inlineStr">
        <is>
          <t/>
        </is>
      </c>
      <c r="CB191" s="88" t="inlineStr">
        <is>
          <t>Venture Capital</t>
        </is>
      </c>
      <c r="CC191" s="89" t="inlineStr">
        <is>
          <t/>
        </is>
      </c>
      <c r="CD191" s="90" t="inlineStr">
        <is>
          <t/>
        </is>
      </c>
      <c r="CE191" s="91" t="inlineStr">
        <is>
          <t/>
        </is>
      </c>
      <c r="CF191" s="92" t="inlineStr">
        <is>
          <t>Completed</t>
        </is>
      </c>
      <c r="CG191" s="93" t="inlineStr">
        <is>
          <t>0,95%</t>
        </is>
      </c>
      <c r="CH191" s="94" t="inlineStr">
        <is>
          <t>95</t>
        </is>
      </c>
      <c r="CI191" s="95" t="inlineStr">
        <is>
          <t>0,15%</t>
        </is>
      </c>
      <c r="CJ191" s="96" t="inlineStr">
        <is>
          <t>19,11%</t>
        </is>
      </c>
      <c r="CK191" s="97" t="inlineStr">
        <is>
          <t>0,48%</t>
        </is>
      </c>
      <c r="CL191" s="98" t="inlineStr">
        <is>
          <t>93</t>
        </is>
      </c>
      <c r="CM191" s="99" t="inlineStr">
        <is>
          <t>1,42%</t>
        </is>
      </c>
      <c r="CN191" s="100" t="inlineStr">
        <is>
          <t>98</t>
        </is>
      </c>
      <c r="CO191" s="101" t="inlineStr">
        <is>
          <t>0,00%</t>
        </is>
      </c>
      <c r="CP191" s="102" t="inlineStr">
        <is>
          <t>37</t>
        </is>
      </c>
      <c r="CQ191" s="103" t="inlineStr">
        <is>
          <t>0,96%</t>
        </is>
      </c>
      <c r="CR191" s="104" t="inlineStr">
        <is>
          <t>93</t>
        </is>
      </c>
      <c r="CS191" s="105" t="inlineStr">
        <is>
          <t/>
        </is>
      </c>
      <c r="CT191" s="106" t="inlineStr">
        <is>
          <t/>
        </is>
      </c>
      <c r="CU191" s="107" t="inlineStr">
        <is>
          <t>1,42%</t>
        </is>
      </c>
      <c r="CV191" s="108" t="inlineStr">
        <is>
          <t>98</t>
        </is>
      </c>
      <c r="CW191" s="109" t="inlineStr">
        <is>
          <t>1,86x</t>
        </is>
      </c>
      <c r="CX191" s="110" t="inlineStr">
        <is>
          <t>63</t>
        </is>
      </c>
      <c r="CY191" s="111" t="inlineStr">
        <is>
          <t>0,00x</t>
        </is>
      </c>
      <c r="CZ191" s="112" t="inlineStr">
        <is>
          <t>-0,02%</t>
        </is>
      </c>
      <c r="DA191" s="113" t="inlineStr">
        <is>
          <t>2,94x</t>
        </is>
      </c>
      <c r="DB191" s="114" t="inlineStr">
        <is>
          <t>73</t>
        </is>
      </c>
      <c r="DC191" s="115" t="inlineStr">
        <is>
          <t>0,78x</t>
        </is>
      </c>
      <c r="DD191" s="116" t="inlineStr">
        <is>
          <t>44</t>
        </is>
      </c>
      <c r="DE191" s="117" t="inlineStr">
        <is>
          <t>0,61x</t>
        </is>
      </c>
      <c r="DF191" s="118" t="inlineStr">
        <is>
          <t>38</t>
        </is>
      </c>
      <c r="DG191" s="119" t="inlineStr">
        <is>
          <t>5,28x</t>
        </is>
      </c>
      <c r="DH191" s="120" t="inlineStr">
        <is>
          <t>80</t>
        </is>
      </c>
      <c r="DI191" s="121" t="inlineStr">
        <is>
          <t/>
        </is>
      </c>
      <c r="DJ191" s="122" t="inlineStr">
        <is>
          <t/>
        </is>
      </c>
      <c r="DK191" s="123" t="inlineStr">
        <is>
          <t>0,78x</t>
        </is>
      </c>
      <c r="DL191" s="124" t="inlineStr">
        <is>
          <t>46</t>
        </is>
      </c>
      <c r="DM191" s="125" t="inlineStr">
        <is>
          <t>218</t>
        </is>
      </c>
      <c r="DN191" s="126" t="inlineStr">
        <is>
          <t>24</t>
        </is>
      </c>
      <c r="DO191" s="127" t="inlineStr">
        <is>
          <t>12,37%</t>
        </is>
      </c>
      <c r="DP191" s="128" t="inlineStr">
        <is>
          <t/>
        </is>
      </c>
      <c r="DQ191" s="129" t="inlineStr">
        <is>
          <t/>
        </is>
      </c>
      <c r="DR191" s="130" t="inlineStr">
        <is>
          <t/>
        </is>
      </c>
      <c r="DS191" s="131" t="inlineStr">
        <is>
          <t>190</t>
        </is>
      </c>
      <c r="DT191" s="132" t="inlineStr">
        <is>
          <t>0</t>
        </is>
      </c>
      <c r="DU191" s="133" t="inlineStr">
        <is>
          <t>0,00%</t>
        </is>
      </c>
      <c r="DV191" s="134" t="inlineStr">
        <is>
          <t>291</t>
        </is>
      </c>
      <c r="DW191" s="135" t="inlineStr">
        <is>
          <t>8</t>
        </is>
      </c>
      <c r="DX191" s="136" t="inlineStr">
        <is>
          <t>2,83%</t>
        </is>
      </c>
      <c r="DY191" s="137" t="inlineStr">
        <is>
          <t>PitchBook Research</t>
        </is>
      </c>
      <c r="DZ191" s="785">
        <f>HYPERLINK("https://my.pitchbook.com?c=105752-71", "View company online")</f>
      </c>
    </row>
    <row r="192">
      <c r="A192" s="139" t="inlineStr">
        <is>
          <t>62902-72</t>
        </is>
      </c>
      <c r="B192" s="140" t="inlineStr">
        <is>
          <t>TrademarkNow</t>
        </is>
      </c>
      <c r="C192" s="141" t="inlineStr">
        <is>
          <t/>
        </is>
      </c>
      <c r="D192" s="142" t="inlineStr">
        <is>
          <t/>
        </is>
      </c>
      <c r="E192" s="143" t="inlineStr">
        <is>
          <t>62902-72</t>
        </is>
      </c>
      <c r="F192" s="144" t="inlineStr">
        <is>
          <t>Provider of an intelligent web-based trademark management platform designed to do instant trademark search and watch results. The company's trademark management platform is based on both explicit and intricate domain models of the law that utilizes machine-learning techniques to quick search and manage trademarks and logos, enabling brand owners, marketing professionals, trademark attorneys and businesses to solve the confusion of new names with existing trademarks and automate the manual filtration of trademark clearance process.</t>
        </is>
      </c>
      <c r="G192" s="145" t="inlineStr">
        <is>
          <t>Business Products and Services (B2B)</t>
        </is>
      </c>
      <c r="H192" s="146" t="inlineStr">
        <is>
          <t>Commercial Services</t>
        </is>
      </c>
      <c r="I192" s="147" t="inlineStr">
        <is>
          <t>Legal Services (B2B)</t>
        </is>
      </c>
      <c r="J192" s="148" t="inlineStr">
        <is>
          <t>Legal Services (B2B)*; Application Software</t>
        </is>
      </c>
      <c r="K192" s="149" t="inlineStr">
        <is>
          <t>Artificial Intelligence &amp; Machine Learning, Big Data, SaaS</t>
        </is>
      </c>
      <c r="L192" s="150" t="inlineStr">
        <is>
          <t>Venture Capital-Backed</t>
        </is>
      </c>
      <c r="M192" s="151" t="n">
        <v>7.85</v>
      </c>
      <c r="N192" s="152" t="inlineStr">
        <is>
          <t>Generating Revenue</t>
        </is>
      </c>
      <c r="O192" s="153" t="inlineStr">
        <is>
          <t>Privately Held (backing)</t>
        </is>
      </c>
      <c r="P192" s="154" t="inlineStr">
        <is>
          <t>Venture Capital</t>
        </is>
      </c>
      <c r="Q192" s="155" t="inlineStr">
        <is>
          <t>www.trademarknow.com</t>
        </is>
      </c>
      <c r="R192" s="156" t="n">
        <v>37.0</v>
      </c>
      <c r="S192" s="157" t="inlineStr">
        <is>
          <t/>
        </is>
      </c>
      <c r="T192" s="158" t="inlineStr">
        <is>
          <t/>
        </is>
      </c>
      <c r="U192" s="159" t="n">
        <v>2012.0</v>
      </c>
      <c r="V192" s="160" t="inlineStr">
        <is>
          <t/>
        </is>
      </c>
      <c r="W192" s="161" t="inlineStr">
        <is>
          <t/>
        </is>
      </c>
      <c r="X192" s="162" t="inlineStr">
        <is>
          <t/>
        </is>
      </c>
      <c r="Y192" s="163" t="n">
        <v>0.86322</v>
      </c>
      <c r="Z192" s="164" t="inlineStr">
        <is>
          <t/>
        </is>
      </c>
      <c r="AA192" s="165" t="n">
        <v>-2.63708</v>
      </c>
      <c r="AB192" s="166" t="inlineStr">
        <is>
          <t/>
        </is>
      </c>
      <c r="AC192" s="167" t="n">
        <v>-2.55171</v>
      </c>
      <c r="AD192" s="168" t="inlineStr">
        <is>
          <t>FY 2016</t>
        </is>
      </c>
      <c r="AE192" s="169" t="inlineStr">
        <is>
          <t>66687-49P</t>
        </is>
      </c>
      <c r="AF192" s="170" t="inlineStr">
        <is>
          <t>Tuomas Jarvenpaa</t>
        </is>
      </c>
      <c r="AG192" s="171" t="inlineStr">
        <is>
          <t>Financial Controller</t>
        </is>
      </c>
      <c r="AH192" s="172" t="inlineStr">
        <is>
          <t>tuomas.jarvenpaa@onomatics.com</t>
        </is>
      </c>
      <c r="AI192" s="173" t="inlineStr">
        <is>
          <t/>
        </is>
      </c>
      <c r="AJ192" s="174" t="inlineStr">
        <is>
          <t>Helsinki, Finland</t>
        </is>
      </c>
      <c r="AK192" s="175" t="inlineStr">
        <is>
          <t>Mikonkatu 17 B</t>
        </is>
      </c>
      <c r="AL192" s="176" t="inlineStr">
        <is>
          <t/>
        </is>
      </c>
      <c r="AM192" s="177" t="inlineStr">
        <is>
          <t>Helsinki</t>
        </is>
      </c>
      <c r="AN192" s="178" t="inlineStr">
        <is>
          <t/>
        </is>
      </c>
      <c r="AO192" s="179" t="inlineStr">
        <is>
          <t>00100</t>
        </is>
      </c>
      <c r="AP192" s="180" t="inlineStr">
        <is>
          <t>Finland</t>
        </is>
      </c>
      <c r="AQ192" s="181" t="inlineStr">
        <is>
          <t/>
        </is>
      </c>
      <c r="AR192" s="182" t="inlineStr">
        <is>
          <t/>
        </is>
      </c>
      <c r="AS192" s="183" t="inlineStr">
        <is>
          <t>info@trademarknow.com</t>
        </is>
      </c>
      <c r="AT192" s="184" t="inlineStr">
        <is>
          <t>Europe</t>
        </is>
      </c>
      <c r="AU192" s="185" t="inlineStr">
        <is>
          <t>Northern Europe</t>
        </is>
      </c>
      <c r="AV192" s="186" t="inlineStr">
        <is>
          <t>The company raised EUR 5 million of venture funding through a combination of debt and equity on October 3, 2017. EUR 3 million of equity investment was provided by Karma Ventures, Balderton Capital and Montiko. A EUR 2 million in the form of loan was provided by Finnvera. The company intends to use the funds to continue to evolve and improve their products and to buy new databases and also makes it possible to grow our sales and product development teams in Finland and Ireland.</t>
        </is>
      </c>
      <c r="AW192" s="187" t="inlineStr">
        <is>
          <t>Balderton Capital, Hopaltans, Karma Ventures, Lifeline Ventures, Montiko, Tekes</t>
        </is>
      </c>
      <c r="AX192" s="188" t="n">
        <v>6.0</v>
      </c>
      <c r="AY192" s="189" t="inlineStr">
        <is>
          <t/>
        </is>
      </c>
      <c r="AZ192" s="190" t="inlineStr">
        <is>
          <t/>
        </is>
      </c>
      <c r="BA192" s="191" t="inlineStr">
        <is>
          <t/>
        </is>
      </c>
      <c r="BB192" s="192" t="inlineStr">
        <is>
          <t>Balderton Capital (www.balderton.com), Karma Ventures (www.karma.vc), Lifeline Ventures (www.lifelineventures.com), Tekes (www.tekes.fi)</t>
        </is>
      </c>
      <c r="BC192" s="193" t="inlineStr">
        <is>
          <t/>
        </is>
      </c>
      <c r="BD192" s="194" t="inlineStr">
        <is>
          <t/>
        </is>
      </c>
      <c r="BE192" s="195" t="inlineStr">
        <is>
          <t>Erevena (Consulting)</t>
        </is>
      </c>
      <c r="BF192" s="196" t="inlineStr">
        <is>
          <t>Finnvera (Debt Financing)</t>
        </is>
      </c>
      <c r="BG192" s="197" t="n">
        <v>41621.0</v>
      </c>
      <c r="BH192" s="198" t="n">
        <v>0.3</v>
      </c>
      <c r="BI192" s="199" t="inlineStr">
        <is>
          <t>Actual</t>
        </is>
      </c>
      <c r="BJ192" s="200" t="inlineStr">
        <is>
          <t/>
        </is>
      </c>
      <c r="BK192" s="201" t="inlineStr">
        <is>
          <t/>
        </is>
      </c>
      <c r="BL192" s="202" t="inlineStr">
        <is>
          <t>Seed Round</t>
        </is>
      </c>
      <c r="BM192" s="203" t="inlineStr">
        <is>
          <t>Seed</t>
        </is>
      </c>
      <c r="BN192" s="204" t="inlineStr">
        <is>
          <t/>
        </is>
      </c>
      <c r="BO192" s="205" t="inlineStr">
        <is>
          <t>Venture Capital</t>
        </is>
      </c>
      <c r="BP192" s="206" t="inlineStr">
        <is>
          <t/>
        </is>
      </c>
      <c r="BQ192" s="207" t="inlineStr">
        <is>
          <t/>
        </is>
      </c>
      <c r="BR192" s="208" t="inlineStr">
        <is>
          <t/>
        </is>
      </c>
      <c r="BS192" s="209" t="inlineStr">
        <is>
          <t>Completed</t>
        </is>
      </c>
      <c r="BT192" s="210" t="n">
        <v>43011.0</v>
      </c>
      <c r="BU192" s="211" t="n">
        <v>5.0</v>
      </c>
      <c r="BV192" s="212" t="inlineStr">
        <is>
          <t>Actual</t>
        </is>
      </c>
      <c r="BW192" s="213" t="inlineStr">
        <is>
          <t/>
        </is>
      </c>
      <c r="BX192" s="214" t="inlineStr">
        <is>
          <t/>
        </is>
      </c>
      <c r="BY192" s="215" t="inlineStr">
        <is>
          <t>Early Stage VC</t>
        </is>
      </c>
      <c r="BZ192" s="216" t="inlineStr">
        <is>
          <t/>
        </is>
      </c>
      <c r="CA192" s="217" t="inlineStr">
        <is>
          <t/>
        </is>
      </c>
      <c r="CB192" s="218" t="inlineStr">
        <is>
          <t>Venture Capital</t>
        </is>
      </c>
      <c r="CC192" s="219" t="inlineStr">
        <is>
          <t>Loan</t>
        </is>
      </c>
      <c r="CD192" s="220" t="inlineStr">
        <is>
          <t/>
        </is>
      </c>
      <c r="CE192" s="221" t="inlineStr">
        <is>
          <t/>
        </is>
      </c>
      <c r="CF192" s="222" t="inlineStr">
        <is>
          <t>Completed</t>
        </is>
      </c>
      <c r="CG192" s="223" t="inlineStr">
        <is>
          <t>0,83%</t>
        </is>
      </c>
      <c r="CH192" s="224" t="inlineStr">
        <is>
          <t>94</t>
        </is>
      </c>
      <c r="CI192" s="225" t="inlineStr">
        <is>
          <t>0,00%</t>
        </is>
      </c>
      <c r="CJ192" s="226" t="inlineStr">
        <is>
          <t>-0,25%</t>
        </is>
      </c>
      <c r="CK192" s="227" t="inlineStr">
        <is>
          <t>0,00%</t>
        </is>
      </c>
      <c r="CL192" s="228" t="inlineStr">
        <is>
          <t>28</t>
        </is>
      </c>
      <c r="CM192" s="229" t="inlineStr">
        <is>
          <t>0,65%</t>
        </is>
      </c>
      <c r="CN192" s="230" t="inlineStr">
        <is>
          <t>92</t>
        </is>
      </c>
      <c r="CO192" s="231" t="inlineStr">
        <is>
          <t/>
        </is>
      </c>
      <c r="CP192" s="232" t="inlineStr">
        <is>
          <t/>
        </is>
      </c>
      <c r="CQ192" s="233" t="inlineStr">
        <is>
          <t>0,00%</t>
        </is>
      </c>
      <c r="CR192" s="234" t="inlineStr">
        <is>
          <t>20</t>
        </is>
      </c>
      <c r="CS192" s="235" t="inlineStr">
        <is>
          <t>0,54%</t>
        </is>
      </c>
      <c r="CT192" s="236" t="inlineStr">
        <is>
          <t>88</t>
        </is>
      </c>
      <c r="CU192" s="237" t="inlineStr">
        <is>
          <t>0,77%</t>
        </is>
      </c>
      <c r="CV192" s="238" t="inlineStr">
        <is>
          <t>95</t>
        </is>
      </c>
      <c r="CW192" s="239" t="inlineStr">
        <is>
          <t>1,10x</t>
        </is>
      </c>
      <c r="CX192" s="240" t="inlineStr">
        <is>
          <t>51</t>
        </is>
      </c>
      <c r="CY192" s="241" t="inlineStr">
        <is>
          <t>-0,01x</t>
        </is>
      </c>
      <c r="CZ192" s="242" t="inlineStr">
        <is>
          <t>-0,62%</t>
        </is>
      </c>
      <c r="DA192" s="243" t="inlineStr">
        <is>
          <t>0,33x</t>
        </is>
      </c>
      <c r="DB192" s="244" t="inlineStr">
        <is>
          <t>26</t>
        </is>
      </c>
      <c r="DC192" s="245" t="inlineStr">
        <is>
          <t>2,83x</t>
        </is>
      </c>
      <c r="DD192" s="246" t="inlineStr">
        <is>
          <t>68</t>
        </is>
      </c>
      <c r="DE192" s="247" t="inlineStr">
        <is>
          <t/>
        </is>
      </c>
      <c r="DF192" s="248" t="inlineStr">
        <is>
          <t/>
        </is>
      </c>
      <c r="DG192" s="249" t="inlineStr">
        <is>
          <t>0,33x</t>
        </is>
      </c>
      <c r="DH192" s="250" t="inlineStr">
        <is>
          <t>27</t>
        </is>
      </c>
      <c r="DI192" s="251" t="inlineStr">
        <is>
          <t>0,36x</t>
        </is>
      </c>
      <c r="DJ192" s="252" t="inlineStr">
        <is>
          <t>33</t>
        </is>
      </c>
      <c r="DK192" s="253" t="inlineStr">
        <is>
          <t>5,30x</t>
        </is>
      </c>
      <c r="DL192" s="254" t="inlineStr">
        <is>
          <t>80</t>
        </is>
      </c>
      <c r="DM192" s="255" t="inlineStr">
        <is>
          <t/>
        </is>
      </c>
      <c r="DN192" s="256" t="inlineStr">
        <is>
          <t/>
        </is>
      </c>
      <c r="DO192" s="257" t="inlineStr">
        <is>
          <t/>
        </is>
      </c>
      <c r="DP192" s="258" t="inlineStr">
        <is>
          <t>287</t>
        </is>
      </c>
      <c r="DQ192" s="259" t="inlineStr">
        <is>
          <t>0</t>
        </is>
      </c>
      <c r="DR192" s="260" t="inlineStr">
        <is>
          <t>0,00%</t>
        </is>
      </c>
      <c r="DS192" s="261" t="inlineStr">
        <is>
          <t>12</t>
        </is>
      </c>
      <c r="DT192" s="262" t="inlineStr">
        <is>
          <t>0</t>
        </is>
      </c>
      <c r="DU192" s="263" t="inlineStr">
        <is>
          <t>0,00%</t>
        </is>
      </c>
      <c r="DV192" s="264" t="inlineStr">
        <is>
          <t>1.980</t>
        </is>
      </c>
      <c r="DW192" s="265" t="inlineStr">
        <is>
          <t>14</t>
        </is>
      </c>
      <c r="DX192" s="266" t="inlineStr">
        <is>
          <t>0,71%</t>
        </is>
      </c>
      <c r="DY192" s="267" t="inlineStr">
        <is>
          <t>PitchBook Research</t>
        </is>
      </c>
      <c r="DZ192" s="786">
        <f>HYPERLINK("https://my.pitchbook.com?c=62902-72", "View company online")</f>
      </c>
    </row>
    <row r="193">
      <c r="A193" s="9" t="inlineStr">
        <is>
          <t>83503-99</t>
        </is>
      </c>
      <c r="B193" s="10" t="inlineStr">
        <is>
          <t>BridgeU</t>
        </is>
      </c>
      <c r="C193" s="11" t="inlineStr">
        <is>
          <t/>
        </is>
      </c>
      <c r="D193" s="12" t="inlineStr">
        <is>
          <t/>
        </is>
      </c>
      <c r="E193" s="13" t="inlineStr">
        <is>
          <t>83503-99</t>
        </is>
      </c>
      <c r="F193" s="14" t="inlineStr">
        <is>
          <t>Developer of an adaptive learning platform designed to empower schools to prepare students for the future. The company's adaptive learning platform combines big data with university preparation processes to empower schools to provide more intelligent, data-driven university and careers guidance as well as students to have access to a series of gamified expert tools that assist them with university selection, research, brand building, essay writing by using intelligent algorithms and machine learning techniques, enabling students and secondary schools to improve higher education decision making using knowledge and data-driven support tools.</t>
        </is>
      </c>
      <c r="G193" s="15" t="inlineStr">
        <is>
          <t>Information Technology</t>
        </is>
      </c>
      <c r="H193" s="16" t="inlineStr">
        <is>
          <t>Software</t>
        </is>
      </c>
      <c r="I193" s="17" t="inlineStr">
        <is>
          <t>Educational Software</t>
        </is>
      </c>
      <c r="J193" s="18" t="inlineStr">
        <is>
          <t>Educational Software*; Educational and Training Services (B2C); Social/Platform Software</t>
        </is>
      </c>
      <c r="K193" s="19" t="inlineStr">
        <is>
          <t>Artificial Intelligence &amp; Machine Learning, Big Data, EdTech</t>
        </is>
      </c>
      <c r="L193" s="20" t="inlineStr">
        <is>
          <t>Venture Capital-Backed</t>
        </is>
      </c>
      <c r="M193" s="21" t="n">
        <v>7.88</v>
      </c>
      <c r="N193" s="22" t="inlineStr">
        <is>
          <t>Generating Revenue</t>
        </is>
      </c>
      <c r="O193" s="23" t="inlineStr">
        <is>
          <t>Privately Held (backing)</t>
        </is>
      </c>
      <c r="P193" s="24" t="inlineStr">
        <is>
          <t>Venture Capital</t>
        </is>
      </c>
      <c r="Q193" s="25" t="inlineStr">
        <is>
          <t>www.bridge-u.com</t>
        </is>
      </c>
      <c r="R193" s="26" t="n">
        <v>40.0</v>
      </c>
      <c r="S193" s="27" t="inlineStr">
        <is>
          <t/>
        </is>
      </c>
      <c r="T193" s="28" t="inlineStr">
        <is>
          <t/>
        </is>
      </c>
      <c r="U193" s="29" t="n">
        <v>2013.0</v>
      </c>
      <c r="V193" s="30" t="inlineStr">
        <is>
          <t/>
        </is>
      </c>
      <c r="W193" s="31" t="inlineStr">
        <is>
          <t/>
        </is>
      </c>
      <c r="X193" s="32" t="inlineStr">
        <is>
          <t/>
        </is>
      </c>
      <c r="Y193" s="33" t="inlineStr">
        <is>
          <t/>
        </is>
      </c>
      <c r="Z193" s="34" t="inlineStr">
        <is>
          <t/>
        </is>
      </c>
      <c r="AA193" s="35" t="inlineStr">
        <is>
          <t/>
        </is>
      </c>
      <c r="AB193" s="36" t="inlineStr">
        <is>
          <t/>
        </is>
      </c>
      <c r="AC193" s="37" t="inlineStr">
        <is>
          <t/>
        </is>
      </c>
      <c r="AD193" s="38" t="inlineStr">
        <is>
          <t/>
        </is>
      </c>
      <c r="AE193" s="39" t="inlineStr">
        <is>
          <t>104737-60P</t>
        </is>
      </c>
      <c r="AF193" s="40" t="inlineStr">
        <is>
          <t>Benjamin Carver</t>
        </is>
      </c>
      <c r="AG193" s="41" t="inlineStr">
        <is>
          <t>Board Member, Co-Founder &amp; Chief Technology Officer</t>
        </is>
      </c>
      <c r="AH193" s="42" t="inlineStr">
        <is>
          <t>hywel@bridge-u.com</t>
        </is>
      </c>
      <c r="AI193" s="43" t="inlineStr">
        <is>
          <t>+44 (0)20 3457 0503</t>
        </is>
      </c>
      <c r="AJ193" s="44" t="inlineStr">
        <is>
          <t>London, United Kingdom</t>
        </is>
      </c>
      <c r="AK193" s="45" t="inlineStr">
        <is>
          <t>2 Angel Square</t>
        </is>
      </c>
      <c r="AL193" s="46" t="inlineStr">
        <is>
          <t/>
        </is>
      </c>
      <c r="AM193" s="47" t="inlineStr">
        <is>
          <t>London</t>
        </is>
      </c>
      <c r="AN193" s="48" t="inlineStr">
        <is>
          <t>England</t>
        </is>
      </c>
      <c r="AO193" s="49" t="inlineStr">
        <is>
          <t>EC1V 1NY</t>
        </is>
      </c>
      <c r="AP193" s="50" t="inlineStr">
        <is>
          <t>United Kingdom</t>
        </is>
      </c>
      <c r="AQ193" s="51" t="inlineStr">
        <is>
          <t>+44 (0)20 3457 0503</t>
        </is>
      </c>
      <c r="AR193" s="52" t="inlineStr">
        <is>
          <t/>
        </is>
      </c>
      <c r="AS193" s="53" t="inlineStr">
        <is>
          <t>hi@bridge-u.com</t>
        </is>
      </c>
      <c r="AT193" s="54" t="inlineStr">
        <is>
          <t>Europe</t>
        </is>
      </c>
      <c r="AU193" s="55" t="inlineStr">
        <is>
          <t>Western Europe</t>
        </is>
      </c>
      <c r="AV193" s="56" t="inlineStr">
        <is>
          <t>The company raised $5.3 million of Series A venture funding in a deal led by Octopus Ventures on October 17, 2017. Fresco Capital and Downing Ventures also participated in the round. The company intends to use the funds to hire data scientists and engineers, continue to develop the tech platform, and enhance support and customer success functions.</t>
        </is>
      </c>
      <c r="AW193" s="57" t="inlineStr">
        <is>
          <t>Deborah Quazzo, Downing Ventures, Fresco Capital, GSV Acceleration, Investiere, Jonnie Goodwin, London Co-Investment Fund, MassChallenge, Octopus Investments, Octopus Ventures, Seedcamp</t>
        </is>
      </c>
      <c r="AX193" s="58" t="n">
        <v>11.0</v>
      </c>
      <c r="AY193" s="59" t="inlineStr">
        <is>
          <t/>
        </is>
      </c>
      <c r="AZ193" s="60" t="inlineStr">
        <is>
          <t/>
        </is>
      </c>
      <c r="BA193" s="61" t="inlineStr">
        <is>
          <t/>
        </is>
      </c>
      <c r="BB193" s="62" t="inlineStr">
        <is>
          <t>Downing Ventures (www.downingventures.com), Fresco Capital (www.fresco.vc), GSV Acceleration (www.gsvacceleration.com), Investiere (www.investiere.ch), London Co-Investment Fund (www.lcif.co), MassChallenge (www.israel.masschallenge.org), Octopus Investments (www.octopusinvestments.com), Octopus Ventures (www.octopusventures.com), Seedcamp (www.seedcamp.com)</t>
        </is>
      </c>
      <c r="BC193" s="63" t="inlineStr">
        <is>
          <t/>
        </is>
      </c>
      <c r="BD193" s="64" t="inlineStr">
        <is>
          <t/>
        </is>
      </c>
      <c r="BE193" s="65" t="inlineStr">
        <is>
          <t/>
        </is>
      </c>
      <c r="BF193" s="66" t="inlineStr">
        <is>
          <t/>
        </is>
      </c>
      <c r="BG193" s="67" t="n">
        <v>41730.0</v>
      </c>
      <c r="BH193" s="68" t="inlineStr">
        <is>
          <t/>
        </is>
      </c>
      <c r="BI193" s="69" t="inlineStr">
        <is>
          <t/>
        </is>
      </c>
      <c r="BJ193" s="70" t="inlineStr">
        <is>
          <t/>
        </is>
      </c>
      <c r="BK193" s="71" t="inlineStr">
        <is>
          <t/>
        </is>
      </c>
      <c r="BL193" s="72" t="inlineStr">
        <is>
          <t>Accelerator/Incubator</t>
        </is>
      </c>
      <c r="BM193" s="73" t="inlineStr">
        <is>
          <t/>
        </is>
      </c>
      <c r="BN193" s="74" t="inlineStr">
        <is>
          <t/>
        </is>
      </c>
      <c r="BO193" s="75" t="inlineStr">
        <is>
          <t>Venture Capital</t>
        </is>
      </c>
      <c r="BP193" s="76" t="inlineStr">
        <is>
          <t/>
        </is>
      </c>
      <c r="BQ193" s="77" t="inlineStr">
        <is>
          <t/>
        </is>
      </c>
      <c r="BR193" s="78" t="inlineStr">
        <is>
          <t/>
        </is>
      </c>
      <c r="BS193" s="79" t="inlineStr">
        <is>
          <t>Completed</t>
        </is>
      </c>
      <c r="BT193" s="80" t="n">
        <v>43025.0</v>
      </c>
      <c r="BU193" s="81" t="n">
        <v>4.51</v>
      </c>
      <c r="BV193" s="82" t="inlineStr">
        <is>
          <t>Actual</t>
        </is>
      </c>
      <c r="BW193" s="83" t="inlineStr">
        <is>
          <t/>
        </is>
      </c>
      <c r="BX193" s="84" t="inlineStr">
        <is>
          <t/>
        </is>
      </c>
      <c r="BY193" s="85" t="inlineStr">
        <is>
          <t>Early Stage VC</t>
        </is>
      </c>
      <c r="BZ193" s="86" t="inlineStr">
        <is>
          <t>Series A</t>
        </is>
      </c>
      <c r="CA193" s="87" t="inlineStr">
        <is>
          <t/>
        </is>
      </c>
      <c r="CB193" s="88" t="inlineStr">
        <is>
          <t>Venture Capital</t>
        </is>
      </c>
      <c r="CC193" s="89" t="inlineStr">
        <is>
          <t/>
        </is>
      </c>
      <c r="CD193" s="90" t="inlineStr">
        <is>
          <t/>
        </is>
      </c>
      <c r="CE193" s="91" t="inlineStr">
        <is>
          <t/>
        </is>
      </c>
      <c r="CF193" s="92" t="inlineStr">
        <is>
          <t>Completed</t>
        </is>
      </c>
      <c r="CG193" s="93" t="inlineStr">
        <is>
          <t>-2,43%</t>
        </is>
      </c>
      <c r="CH193" s="94" t="inlineStr">
        <is>
          <t>8</t>
        </is>
      </c>
      <c r="CI193" s="95" t="inlineStr">
        <is>
          <t>-0,15%</t>
        </is>
      </c>
      <c r="CJ193" s="96" t="inlineStr">
        <is>
          <t>-6,60%</t>
        </is>
      </c>
      <c r="CK193" s="97" t="inlineStr">
        <is>
          <t>-8,38%</t>
        </is>
      </c>
      <c r="CL193" s="98" t="inlineStr">
        <is>
          <t>4</t>
        </is>
      </c>
      <c r="CM193" s="99" t="inlineStr">
        <is>
          <t>0,44%</t>
        </is>
      </c>
      <c r="CN193" s="100" t="inlineStr">
        <is>
          <t>87</t>
        </is>
      </c>
      <c r="CO193" s="101" t="inlineStr">
        <is>
          <t>-16,77%</t>
        </is>
      </c>
      <c r="CP193" s="102" t="inlineStr">
        <is>
          <t>7</t>
        </is>
      </c>
      <c r="CQ193" s="103" t="inlineStr">
        <is>
          <t>0,00%</t>
        </is>
      </c>
      <c r="CR193" s="104" t="inlineStr">
        <is>
          <t>20</t>
        </is>
      </c>
      <c r="CS193" s="105" t="inlineStr">
        <is>
          <t>-0,03%</t>
        </is>
      </c>
      <c r="CT193" s="106" t="inlineStr">
        <is>
          <t>11</t>
        </is>
      </c>
      <c r="CU193" s="107" t="inlineStr">
        <is>
          <t>0,91%</t>
        </is>
      </c>
      <c r="CV193" s="108" t="inlineStr">
        <is>
          <t>96</t>
        </is>
      </c>
      <c r="CW193" s="109" t="inlineStr">
        <is>
          <t>1,10x</t>
        </is>
      </c>
      <c r="CX193" s="110" t="inlineStr">
        <is>
          <t>51</t>
        </is>
      </c>
      <c r="CY193" s="111" t="inlineStr">
        <is>
          <t>0,01x</t>
        </is>
      </c>
      <c r="CZ193" s="112" t="inlineStr">
        <is>
          <t>1,33%</t>
        </is>
      </c>
      <c r="DA193" s="113" t="inlineStr">
        <is>
          <t>1,39x</t>
        </is>
      </c>
      <c r="DB193" s="114" t="inlineStr">
        <is>
          <t>59</t>
        </is>
      </c>
      <c r="DC193" s="115" t="inlineStr">
        <is>
          <t>1,76x</t>
        </is>
      </c>
      <c r="DD193" s="116" t="inlineStr">
        <is>
          <t>59</t>
        </is>
      </c>
      <c r="DE193" s="117" t="inlineStr">
        <is>
          <t>1,95x</t>
        </is>
      </c>
      <c r="DF193" s="118" t="inlineStr">
        <is>
          <t>65</t>
        </is>
      </c>
      <c r="DG193" s="119" t="inlineStr">
        <is>
          <t>0,83x</t>
        </is>
      </c>
      <c r="DH193" s="120" t="inlineStr">
        <is>
          <t>46</t>
        </is>
      </c>
      <c r="DI193" s="121" t="inlineStr">
        <is>
          <t>1,80x</t>
        </is>
      </c>
      <c r="DJ193" s="122" t="inlineStr">
        <is>
          <t>60</t>
        </is>
      </c>
      <c r="DK193" s="123" t="inlineStr">
        <is>
          <t>1,72x</t>
        </is>
      </c>
      <c r="DL193" s="124" t="inlineStr">
        <is>
          <t>61</t>
        </is>
      </c>
      <c r="DM193" s="125" t="inlineStr">
        <is>
          <t>713</t>
        </is>
      </c>
      <c r="DN193" s="126" t="inlineStr">
        <is>
          <t>43</t>
        </is>
      </c>
      <c r="DO193" s="127" t="inlineStr">
        <is>
          <t>6,42%</t>
        </is>
      </c>
      <c r="DP193" s="128" t="inlineStr">
        <is>
          <t>1.429</t>
        </is>
      </c>
      <c r="DQ193" s="129" t="inlineStr">
        <is>
          <t>0</t>
        </is>
      </c>
      <c r="DR193" s="130" t="inlineStr">
        <is>
          <t>0,00%</t>
        </is>
      </c>
      <c r="DS193" s="131" t="inlineStr">
        <is>
          <t>29</t>
        </is>
      </c>
      <c r="DT193" s="132" t="inlineStr">
        <is>
          <t>1</t>
        </is>
      </c>
      <c r="DU193" s="133" t="inlineStr">
        <is>
          <t>3,57%</t>
        </is>
      </c>
      <c r="DV193" s="134" t="inlineStr">
        <is>
          <t>643</t>
        </is>
      </c>
      <c r="DW193" s="135" t="inlineStr">
        <is>
          <t>1</t>
        </is>
      </c>
      <c r="DX193" s="136" t="inlineStr">
        <is>
          <t>0,16%</t>
        </is>
      </c>
      <c r="DY193" s="137" t="inlineStr">
        <is>
          <t>PitchBook Research</t>
        </is>
      </c>
      <c r="DZ193" s="785">
        <f>HYPERLINK("https://my.pitchbook.com?c=83503-99", "View company online")</f>
      </c>
    </row>
    <row r="194">
      <c r="A194" s="139" t="inlineStr">
        <is>
          <t>109588-24</t>
        </is>
      </c>
      <c r="B194" s="140" t="inlineStr">
        <is>
          <t>Framer</t>
        </is>
      </c>
      <c r="C194" s="141" t="inlineStr">
        <is>
          <t/>
        </is>
      </c>
      <c r="D194" s="142" t="inlineStr">
        <is>
          <t/>
        </is>
      </c>
      <c r="E194" s="143" t="inlineStr">
        <is>
          <t>109588-24</t>
        </is>
      </c>
      <c r="F194" s="144" t="inlineStr">
        <is>
          <t>Provider of a web, mobile and subscription based design toolkit created to design interactive prototypes for iOS, android, desktop or the web from start to finish. The company's design toolkit helps in conception, prototyping and sharing interactive design projects and provides a seamless static to motion workflow, further complemented by live device previewing, version control and sharing, enabling companies to turn static mockups into interactive prototypes and to experiment quickly with animations and interactions.</t>
        </is>
      </c>
      <c r="G194" s="145" t="inlineStr">
        <is>
          <t>Information Technology</t>
        </is>
      </c>
      <c r="H194" s="146" t="inlineStr">
        <is>
          <t>Software</t>
        </is>
      </c>
      <c r="I194" s="147" t="inlineStr">
        <is>
          <t>Multimedia and Design Software</t>
        </is>
      </c>
      <c r="J194" s="148" t="inlineStr">
        <is>
          <t>Multimedia and Design Software*; Business/Productivity Software</t>
        </is>
      </c>
      <c r="K194" s="149" t="inlineStr">
        <is>
          <t>3D Printing, Mobile, SaaS</t>
        </is>
      </c>
      <c r="L194" s="150" t="inlineStr">
        <is>
          <t>Venture Capital-Backed</t>
        </is>
      </c>
      <c r="M194" s="151" t="n">
        <v>8.0</v>
      </c>
      <c r="N194" s="152" t="inlineStr">
        <is>
          <t>Generating Revenue</t>
        </is>
      </c>
      <c r="O194" s="153" t="inlineStr">
        <is>
          <t>Privately Held (backing)</t>
        </is>
      </c>
      <c r="P194" s="154" t="inlineStr">
        <is>
          <t>Venture Capital</t>
        </is>
      </c>
      <c r="Q194" s="155" t="inlineStr">
        <is>
          <t>www.framer.com</t>
        </is>
      </c>
      <c r="R194" s="156" t="n">
        <v>2.0</v>
      </c>
      <c r="S194" s="157" t="inlineStr">
        <is>
          <t/>
        </is>
      </c>
      <c r="T194" s="158" t="inlineStr">
        <is>
          <t/>
        </is>
      </c>
      <c r="U194" s="159" t="n">
        <v>2014.0</v>
      </c>
      <c r="V194" s="160" t="inlineStr">
        <is>
          <t/>
        </is>
      </c>
      <c r="W194" s="161" t="inlineStr">
        <is>
          <t/>
        </is>
      </c>
      <c r="X194" s="162" t="inlineStr">
        <is>
          <r>
            <rPr>
              <b/>
              <color rgb="ff26854d"/>
              <rFont val="Arial"/>
              <sz val="8.0"/>
            </rPr>
            <t>Deal</t>
          </r>
          <r>
            <rPr>
              <color rgb="ff707070"/>
              <rFont val="Arial"/>
              <sz val="7.0"/>
            </rPr>
            <t xml:space="preserve"> NEW  </t>
          </r>
          <r>
            <rPr>
              <color rgb="ff000000"/>
              <rFont val="Arial"/>
              <sz val="8.0"/>
            </rPr>
            <t>Early Stage VC (Series A), 2017</t>
          </r>
          <r>
            <rPr>
              <color rgb="ff707070"/>
              <rFont val="Arial"/>
              <sz val="7.0"/>
            </rPr>
            <t xml:space="preserve"> Completed</t>
          </r>
        </is>
      </c>
      <c r="Y194" s="163" t="inlineStr">
        <is>
          <t/>
        </is>
      </c>
      <c r="Z194" s="164" t="inlineStr">
        <is>
          <t/>
        </is>
      </c>
      <c r="AA194" s="165" t="inlineStr">
        <is>
          <t/>
        </is>
      </c>
      <c r="AB194" s="166" t="inlineStr">
        <is>
          <t/>
        </is>
      </c>
      <c r="AC194" s="167" t="inlineStr">
        <is>
          <t/>
        </is>
      </c>
      <c r="AD194" s="168" t="inlineStr">
        <is>
          <t/>
        </is>
      </c>
      <c r="AE194" s="169" t="inlineStr">
        <is>
          <t>94883-86P</t>
        </is>
      </c>
      <c r="AF194" s="170" t="inlineStr">
        <is>
          <t>Koen Bok</t>
        </is>
      </c>
      <c r="AG194" s="171" t="inlineStr">
        <is>
          <t>Co-Founder</t>
        </is>
      </c>
      <c r="AH194" s="172" t="inlineStr">
        <is>
          <t>koen@framerjs.com</t>
        </is>
      </c>
      <c r="AI194" s="173" t="inlineStr">
        <is>
          <t/>
        </is>
      </c>
      <c r="AJ194" s="174" t="inlineStr">
        <is>
          <t>Amsterdam, Netherlands</t>
        </is>
      </c>
      <c r="AK194" s="175" t="inlineStr">
        <is>
          <t/>
        </is>
      </c>
      <c r="AL194" s="176" t="inlineStr">
        <is>
          <t/>
        </is>
      </c>
      <c r="AM194" s="177" t="inlineStr">
        <is>
          <t>Amsterdam</t>
        </is>
      </c>
      <c r="AN194" s="178" t="inlineStr">
        <is>
          <t/>
        </is>
      </c>
      <c r="AO194" s="179" t="inlineStr">
        <is>
          <t/>
        </is>
      </c>
      <c r="AP194" s="180" t="inlineStr">
        <is>
          <t>Netherlands</t>
        </is>
      </c>
      <c r="AQ194" s="181" t="inlineStr">
        <is>
          <t/>
        </is>
      </c>
      <c r="AR194" s="182" t="inlineStr">
        <is>
          <t/>
        </is>
      </c>
      <c r="AS194" s="183" t="inlineStr">
        <is>
          <t/>
        </is>
      </c>
      <c r="AT194" s="184" t="inlineStr">
        <is>
          <t>Europe</t>
        </is>
      </c>
      <c r="AU194" s="185" t="inlineStr">
        <is>
          <t>Western Europe</t>
        </is>
      </c>
      <c r="AV194" s="186" t="inlineStr">
        <is>
          <t>The company raised $8 million of Series A venture funding in a deal led by Accel on November 7, 2017. The company which has raised $9.3 million in total funding to date, intends to use the funds to further develop and improve their go-to design tool, grow their team and expand their community worldwide.</t>
        </is>
      </c>
      <c r="AW194" s="187" t="inlineStr">
        <is>
          <t>Accel, Adriaan Mol, Ben Davenport, Designer Fund, Foundation Capital, Greylock Partners, Joe Gebbia, Joes Leopold, Micha Hernandez van Leuffen, Robert Gaal, Soleio Cuervo</t>
        </is>
      </c>
      <c r="AX194" s="188" t="n">
        <v>11.0</v>
      </c>
      <c r="AY194" s="189" t="inlineStr">
        <is>
          <t/>
        </is>
      </c>
      <c r="AZ194" s="190" t="inlineStr">
        <is>
          <t/>
        </is>
      </c>
      <c r="BA194" s="191" t="inlineStr">
        <is>
          <t/>
        </is>
      </c>
      <c r="BB194" s="192" t="inlineStr">
        <is>
          <t>Accel (www.accel.com), Designer Fund (www.designerfund.com), Foundation Capital (www.foundationcapital.com), Greylock Partners (www.greylock.com)</t>
        </is>
      </c>
      <c r="BC194" s="193" t="inlineStr">
        <is>
          <t/>
        </is>
      </c>
      <c r="BD194" s="194" t="inlineStr">
        <is>
          <t/>
        </is>
      </c>
      <c r="BE194" s="195" t="inlineStr">
        <is>
          <t>Cooley (Legal Advisor)</t>
        </is>
      </c>
      <c r="BF194" s="196" t="inlineStr">
        <is>
          <t>Cooley (Legal Advisor)</t>
        </is>
      </c>
      <c r="BG194" s="197" t="n">
        <v>42066.0</v>
      </c>
      <c r="BH194" s="198" t="n">
        <v>1.2</v>
      </c>
      <c r="BI194" s="199" t="inlineStr">
        <is>
          <t>Actual</t>
        </is>
      </c>
      <c r="BJ194" s="200" t="inlineStr">
        <is>
          <t/>
        </is>
      </c>
      <c r="BK194" s="201" t="inlineStr">
        <is>
          <t/>
        </is>
      </c>
      <c r="BL194" s="202" t="inlineStr">
        <is>
          <t>Early Stage VC</t>
        </is>
      </c>
      <c r="BM194" s="203" t="inlineStr">
        <is>
          <t/>
        </is>
      </c>
      <c r="BN194" s="204" t="inlineStr">
        <is>
          <t/>
        </is>
      </c>
      <c r="BO194" s="205" t="inlineStr">
        <is>
          <t>Venture Capital</t>
        </is>
      </c>
      <c r="BP194" s="206" t="inlineStr">
        <is>
          <t/>
        </is>
      </c>
      <c r="BQ194" s="207" t="inlineStr">
        <is>
          <t/>
        </is>
      </c>
      <c r="BR194" s="208" t="inlineStr">
        <is>
          <t/>
        </is>
      </c>
      <c r="BS194" s="209" t="inlineStr">
        <is>
          <t>Completed</t>
        </is>
      </c>
      <c r="BT194" s="210" t="n">
        <v>43046.0</v>
      </c>
      <c r="BU194" s="211" t="n">
        <v>6.8</v>
      </c>
      <c r="BV194" s="212" t="inlineStr">
        <is>
          <t>Actual</t>
        </is>
      </c>
      <c r="BW194" s="213" t="inlineStr">
        <is>
          <t/>
        </is>
      </c>
      <c r="BX194" s="214" t="inlineStr">
        <is>
          <t/>
        </is>
      </c>
      <c r="BY194" s="215" t="inlineStr">
        <is>
          <t>Early Stage VC</t>
        </is>
      </c>
      <c r="BZ194" s="216" t="inlineStr">
        <is>
          <t>Series A</t>
        </is>
      </c>
      <c r="CA194" s="217" t="inlineStr">
        <is>
          <t/>
        </is>
      </c>
      <c r="CB194" s="218" t="inlineStr">
        <is>
          <t>Venture Capital</t>
        </is>
      </c>
      <c r="CC194" s="219" t="inlineStr">
        <is>
          <t/>
        </is>
      </c>
      <c r="CD194" s="220" t="inlineStr">
        <is>
          <t/>
        </is>
      </c>
      <c r="CE194" s="221" t="inlineStr">
        <is>
          <t/>
        </is>
      </c>
      <c r="CF194" s="222" t="inlineStr">
        <is>
          <t>Completed</t>
        </is>
      </c>
      <c r="CG194" s="223" t="inlineStr">
        <is>
          <t>-4,24%</t>
        </is>
      </c>
      <c r="CH194" s="224" t="inlineStr">
        <is>
          <t>5</t>
        </is>
      </c>
      <c r="CI194" s="225" t="inlineStr">
        <is>
          <t>0,00%</t>
        </is>
      </c>
      <c r="CJ194" s="226" t="inlineStr">
        <is>
          <t>0,10%</t>
        </is>
      </c>
      <c r="CK194" s="227" t="inlineStr">
        <is>
          <t>-9,26%</t>
        </is>
      </c>
      <c r="CL194" s="228" t="inlineStr">
        <is>
          <t>4</t>
        </is>
      </c>
      <c r="CM194" s="229" t="inlineStr">
        <is>
          <t>0,79%</t>
        </is>
      </c>
      <c r="CN194" s="230" t="inlineStr">
        <is>
          <t>94</t>
        </is>
      </c>
      <c r="CO194" s="231" t="inlineStr">
        <is>
          <t>-18,53%</t>
        </is>
      </c>
      <c r="CP194" s="232" t="inlineStr">
        <is>
          <t>6</t>
        </is>
      </c>
      <c r="CQ194" s="233" t="inlineStr">
        <is>
          <t>0,00%</t>
        </is>
      </c>
      <c r="CR194" s="234" t="inlineStr">
        <is>
          <t>20</t>
        </is>
      </c>
      <c r="CS194" s="235" t="inlineStr">
        <is>
          <t>0,91%</t>
        </is>
      </c>
      <c r="CT194" s="236" t="inlineStr">
        <is>
          <t>94</t>
        </is>
      </c>
      <c r="CU194" s="237" t="inlineStr">
        <is>
          <t>0,66%</t>
        </is>
      </c>
      <c r="CV194" s="238" t="inlineStr">
        <is>
          <t>94</t>
        </is>
      </c>
      <c r="CW194" s="239" t="inlineStr">
        <is>
          <t>30,24x</t>
        </is>
      </c>
      <c r="CX194" s="240" t="inlineStr">
        <is>
          <t>95</t>
        </is>
      </c>
      <c r="CY194" s="241" t="inlineStr">
        <is>
          <t>-0,17x</t>
        </is>
      </c>
      <c r="CZ194" s="242" t="inlineStr">
        <is>
          <t>-0,55%</t>
        </is>
      </c>
      <c r="DA194" s="243" t="inlineStr">
        <is>
          <t>30,92x</t>
        </is>
      </c>
      <c r="DB194" s="244" t="inlineStr">
        <is>
          <t>96</t>
        </is>
      </c>
      <c r="DC194" s="245" t="inlineStr">
        <is>
          <t>29,56x</t>
        </is>
      </c>
      <c r="DD194" s="246" t="inlineStr">
        <is>
          <t>92</t>
        </is>
      </c>
      <c r="DE194" s="247" t="inlineStr">
        <is>
          <t>60,01x</t>
        </is>
      </c>
      <c r="DF194" s="248" t="inlineStr">
        <is>
          <t>97</t>
        </is>
      </c>
      <c r="DG194" s="249" t="inlineStr">
        <is>
          <t>1,83x</t>
        </is>
      </c>
      <c r="DH194" s="250" t="inlineStr">
        <is>
          <t>63</t>
        </is>
      </c>
      <c r="DI194" s="251" t="inlineStr">
        <is>
          <t>6,44x</t>
        </is>
      </c>
      <c r="DJ194" s="252" t="inlineStr">
        <is>
          <t>77</t>
        </is>
      </c>
      <c r="DK194" s="253" t="inlineStr">
        <is>
          <t>52,67x</t>
        </is>
      </c>
      <c r="DL194" s="254" t="inlineStr">
        <is>
          <t>97</t>
        </is>
      </c>
      <c r="DM194" s="255" t="inlineStr">
        <is>
          <t>22.548</t>
        </is>
      </c>
      <c r="DN194" s="256" t="inlineStr">
        <is>
          <t>-1.417</t>
        </is>
      </c>
      <c r="DO194" s="257" t="inlineStr">
        <is>
          <t>-5,91%</t>
        </is>
      </c>
      <c r="DP194" s="258" t="inlineStr">
        <is>
          <t>5.076</t>
        </is>
      </c>
      <c r="DQ194" s="259" t="inlineStr">
        <is>
          <t>60</t>
        </is>
      </c>
      <c r="DR194" s="260" t="inlineStr">
        <is>
          <t>1,20%</t>
        </is>
      </c>
      <c r="DS194" s="261" t="inlineStr">
        <is>
          <t>72</t>
        </is>
      </c>
      <c r="DT194" s="262" t="inlineStr">
        <is>
          <t>-8</t>
        </is>
      </c>
      <c r="DU194" s="263" t="inlineStr">
        <is>
          <t>-10,00%</t>
        </is>
      </c>
      <c r="DV194" s="264" t="inlineStr">
        <is>
          <t>19.651</t>
        </is>
      </c>
      <c r="DW194" s="265" t="inlineStr">
        <is>
          <t>94</t>
        </is>
      </c>
      <c r="DX194" s="266" t="inlineStr">
        <is>
          <t>0,48%</t>
        </is>
      </c>
      <c r="DY194" s="267" t="inlineStr">
        <is>
          <t>PitchBook Research</t>
        </is>
      </c>
      <c r="DZ194" s="786">
        <f>HYPERLINK("https://my.pitchbook.com?c=109588-24", "View company online")</f>
      </c>
    </row>
    <row r="195">
      <c r="A195" s="9" t="inlineStr">
        <is>
          <t>64435-06</t>
        </is>
      </c>
      <c r="B195" s="10" t="inlineStr">
        <is>
          <t>8fit</t>
        </is>
      </c>
      <c r="C195" s="11" t="inlineStr">
        <is>
          <t/>
        </is>
      </c>
      <c r="D195" s="12" t="inlineStr">
        <is>
          <t/>
        </is>
      </c>
      <c r="E195" s="13" t="inlineStr">
        <is>
          <t>64435-06</t>
        </is>
      </c>
      <c r="F195" s="14" t="inlineStr">
        <is>
          <t>Developer of fitness application designed to transform the way people get fit. The company's fitness application offers custom workouts which users can follow at home without equipment, personalized meal plans and tools like weight tracking, enabling fitness enthusiast to record and monitor their fitness on a regular basis.</t>
        </is>
      </c>
      <c r="G195" s="15" t="inlineStr">
        <is>
          <t>Information Technology</t>
        </is>
      </c>
      <c r="H195" s="16" t="inlineStr">
        <is>
          <t>Software</t>
        </is>
      </c>
      <c r="I195" s="17" t="inlineStr">
        <is>
          <t>Application Software</t>
        </is>
      </c>
      <c r="J195" s="18" t="inlineStr">
        <is>
          <t>Application Software*</t>
        </is>
      </c>
      <c r="K195" s="19" t="inlineStr">
        <is>
          <t>HealthTech, Mobile, SaaS</t>
        </is>
      </c>
      <c r="L195" s="20" t="inlineStr">
        <is>
          <t>Venture Capital-Backed</t>
        </is>
      </c>
      <c r="M195" s="21" t="n">
        <v>8.13</v>
      </c>
      <c r="N195" s="22" t="inlineStr">
        <is>
          <t>Generating Revenue/Not Profitable</t>
        </is>
      </c>
      <c r="O195" s="23" t="inlineStr">
        <is>
          <t>Privately Held (backing)</t>
        </is>
      </c>
      <c r="P195" s="24" t="inlineStr">
        <is>
          <t>Venture Capital</t>
        </is>
      </c>
      <c r="Q195" s="25" t="inlineStr">
        <is>
          <t>www.8fit.com</t>
        </is>
      </c>
      <c r="R195" s="26" t="n">
        <v>50.0</v>
      </c>
      <c r="S195" s="27" t="inlineStr">
        <is>
          <t/>
        </is>
      </c>
      <c r="T195" s="28" t="inlineStr">
        <is>
          <t/>
        </is>
      </c>
      <c r="U195" s="29" t="inlineStr">
        <is>
          <t/>
        </is>
      </c>
      <c r="V195" s="30" t="inlineStr">
        <is>
          <t/>
        </is>
      </c>
      <c r="W195" s="31" t="inlineStr">
        <is>
          <t/>
        </is>
      </c>
      <c r="X195" s="32" t="inlineStr">
        <is>
          <r>
            <rPr>
              <b/>
              <color rgb="ff26854d"/>
              <rFont val="Arial"/>
              <sz val="8.0"/>
            </rPr>
            <t>Competitor</t>
          </r>
          <r>
            <rPr>
              <color rgb="ff707070"/>
              <rFont val="Arial"/>
              <sz val="7.0"/>
            </rPr>
            <t xml:space="preserve"> NEW  </t>
          </r>
          <r>
            <rPr>
              <color rgb="ff000000"/>
              <rFont val="Arial"/>
              <sz val="8.0"/>
            </rPr>
            <t>Aaptiv</t>
          </r>
        </is>
      </c>
      <c r="Y195" s="33" t="inlineStr">
        <is>
          <t/>
        </is>
      </c>
      <c r="Z195" s="34" t="inlineStr">
        <is>
          <t/>
        </is>
      </c>
      <c r="AA195" s="35" t="inlineStr">
        <is>
          <t/>
        </is>
      </c>
      <c r="AB195" s="36" t="inlineStr">
        <is>
          <t/>
        </is>
      </c>
      <c r="AC195" s="37" t="inlineStr">
        <is>
          <t/>
        </is>
      </c>
      <c r="AD195" s="38" t="inlineStr">
        <is>
          <t/>
        </is>
      </c>
      <c r="AE195" s="39" t="inlineStr">
        <is>
          <t>48481-48P</t>
        </is>
      </c>
      <c r="AF195" s="40" t="inlineStr">
        <is>
          <t>Pablo Villalba</t>
        </is>
      </c>
      <c r="AG195" s="41" t="inlineStr">
        <is>
          <t>Co-Founder &amp; Chief Executive Officer</t>
        </is>
      </c>
      <c r="AH195" s="42" t="inlineStr">
        <is>
          <t>pablo@8fit.com</t>
        </is>
      </c>
      <c r="AI195" s="43" t="inlineStr">
        <is>
          <t/>
        </is>
      </c>
      <c r="AJ195" s="44" t="inlineStr">
        <is>
          <t>Berlin, Germany</t>
        </is>
      </c>
      <c r="AK195" s="45" t="inlineStr">
        <is>
          <t/>
        </is>
      </c>
      <c r="AL195" s="46" t="inlineStr">
        <is>
          <t/>
        </is>
      </c>
      <c r="AM195" s="47" t="inlineStr">
        <is>
          <t>Berlin</t>
        </is>
      </c>
      <c r="AN195" s="48" t="inlineStr">
        <is>
          <t/>
        </is>
      </c>
      <c r="AO195" s="49" t="inlineStr">
        <is>
          <t/>
        </is>
      </c>
      <c r="AP195" s="50" t="inlineStr">
        <is>
          <t>Germany</t>
        </is>
      </c>
      <c r="AQ195" s="51" t="inlineStr">
        <is>
          <t/>
        </is>
      </c>
      <c r="AR195" s="52" t="inlineStr">
        <is>
          <t/>
        </is>
      </c>
      <c r="AS195" s="53" t="inlineStr">
        <is>
          <t>help@8fit.com</t>
        </is>
      </c>
      <c r="AT195" s="54" t="inlineStr">
        <is>
          <t>Europe</t>
        </is>
      </c>
      <c r="AU195" s="55" t="inlineStr">
        <is>
          <t>Western Europe</t>
        </is>
      </c>
      <c r="AV195" s="56" t="inlineStr">
        <is>
          <t>The company raised $7 million of Series A venture funding in a deal led by Creandum and Eight Roads Ventures on September 19, 2017. Proxy Ventures and other undisclosed investors also participated. The funds will be used to expand the company's team to support its international user growth.</t>
        </is>
      </c>
      <c r="AW195" s="57" t="inlineStr">
        <is>
          <t>Arthur Kosten, Carles Puyol, Creandum, Eight Roads Ventures, Elliot Richmond, Impact Accelerator, Pierre Valade, Proxy Ventures, Vitamina K</t>
        </is>
      </c>
      <c r="AX195" s="58" t="n">
        <v>9.0</v>
      </c>
      <c r="AY195" s="59" t="inlineStr">
        <is>
          <t/>
        </is>
      </c>
      <c r="AZ195" s="60" t="inlineStr">
        <is>
          <t/>
        </is>
      </c>
      <c r="BA195" s="61" t="inlineStr">
        <is>
          <t/>
        </is>
      </c>
      <c r="BB195" s="62" t="inlineStr">
        <is>
          <t>Creandum (www.creandum.com), Eight Roads Ventures (www.eightroads.com), Impact Accelerator (www.impact-accelerator.com), Proxy Ventures (www.proxy.vc), Vitamina K (www.vitaminak.com)</t>
        </is>
      </c>
      <c r="BC195" s="63" t="inlineStr">
        <is>
          <t/>
        </is>
      </c>
      <c r="BD195" s="64" t="inlineStr">
        <is>
          <t/>
        </is>
      </c>
      <c r="BE195" s="65" t="inlineStr">
        <is>
          <t/>
        </is>
      </c>
      <c r="BF195" s="66" t="inlineStr">
        <is>
          <t/>
        </is>
      </c>
      <c r="BG195" s="67" t="n">
        <v>41696.0</v>
      </c>
      <c r="BH195" s="68" t="n">
        <v>0.04</v>
      </c>
      <c r="BI195" s="69" t="inlineStr">
        <is>
          <t>Actual</t>
        </is>
      </c>
      <c r="BJ195" s="70" t="inlineStr">
        <is>
          <t/>
        </is>
      </c>
      <c r="BK195" s="71" t="inlineStr">
        <is>
          <t/>
        </is>
      </c>
      <c r="BL195" s="72" t="inlineStr">
        <is>
          <t>Seed Round</t>
        </is>
      </c>
      <c r="BM195" s="73" t="inlineStr">
        <is>
          <t>Seed</t>
        </is>
      </c>
      <c r="BN195" s="74" t="inlineStr">
        <is>
          <t/>
        </is>
      </c>
      <c r="BO195" s="75" t="inlineStr">
        <is>
          <t>Individual</t>
        </is>
      </c>
      <c r="BP195" s="76" t="inlineStr">
        <is>
          <t/>
        </is>
      </c>
      <c r="BQ195" s="77" t="inlineStr">
        <is>
          <t/>
        </is>
      </c>
      <c r="BR195" s="78" t="inlineStr">
        <is>
          <t/>
        </is>
      </c>
      <c r="BS195" s="79" t="inlineStr">
        <is>
          <t>Completed</t>
        </is>
      </c>
      <c r="BT195" s="80" t="n">
        <v>42997.0</v>
      </c>
      <c r="BU195" s="81" t="n">
        <v>5.87</v>
      </c>
      <c r="BV195" s="82" t="inlineStr">
        <is>
          <t>Actual</t>
        </is>
      </c>
      <c r="BW195" s="83" t="inlineStr">
        <is>
          <t/>
        </is>
      </c>
      <c r="BX195" s="84" t="inlineStr">
        <is>
          <t/>
        </is>
      </c>
      <c r="BY195" s="85" t="inlineStr">
        <is>
          <t>Early Stage VC</t>
        </is>
      </c>
      <c r="BZ195" s="86" t="inlineStr">
        <is>
          <t>Series A</t>
        </is>
      </c>
      <c r="CA195" s="87" t="inlineStr">
        <is>
          <t/>
        </is>
      </c>
      <c r="CB195" s="88" t="inlineStr">
        <is>
          <t>Venture Capital</t>
        </is>
      </c>
      <c r="CC195" s="89" t="inlineStr">
        <is>
          <t/>
        </is>
      </c>
      <c r="CD195" s="90" t="inlineStr">
        <is>
          <t/>
        </is>
      </c>
      <c r="CE195" s="91" t="inlineStr">
        <is>
          <t/>
        </is>
      </c>
      <c r="CF195" s="92" t="inlineStr">
        <is>
          <t>Completed</t>
        </is>
      </c>
      <c r="CG195" s="93" t="inlineStr">
        <is>
          <t>0,00%</t>
        </is>
      </c>
      <c r="CH195" s="94" t="inlineStr">
        <is>
          <t>33</t>
        </is>
      </c>
      <c r="CI195" s="95" t="inlineStr">
        <is>
          <t>-0,18%</t>
        </is>
      </c>
      <c r="CJ195" s="96" t="inlineStr">
        <is>
          <t>-97,42%</t>
        </is>
      </c>
      <c r="CK195" s="97" t="inlineStr">
        <is>
          <t>-4,61%</t>
        </is>
      </c>
      <c r="CL195" s="98" t="inlineStr">
        <is>
          <t>8</t>
        </is>
      </c>
      <c r="CM195" s="99" t="inlineStr">
        <is>
          <t>0,54%</t>
        </is>
      </c>
      <c r="CN195" s="100" t="inlineStr">
        <is>
          <t>90</t>
        </is>
      </c>
      <c r="CO195" s="101" t="inlineStr">
        <is>
          <t>-9,22%</t>
        </is>
      </c>
      <c r="CP195" s="102" t="inlineStr">
        <is>
          <t>14</t>
        </is>
      </c>
      <c r="CQ195" s="103" t="inlineStr">
        <is>
          <t>0,00%</t>
        </is>
      </c>
      <c r="CR195" s="104" t="inlineStr">
        <is>
          <t>20</t>
        </is>
      </c>
      <c r="CS195" s="105" t="inlineStr">
        <is>
          <t>1,08%</t>
        </is>
      </c>
      <c r="CT195" s="106" t="inlineStr">
        <is>
          <t>95</t>
        </is>
      </c>
      <c r="CU195" s="107" t="inlineStr">
        <is>
          <t>0,00%</t>
        </is>
      </c>
      <c r="CV195" s="108" t="inlineStr">
        <is>
          <t>21</t>
        </is>
      </c>
      <c r="CW195" s="109" t="inlineStr">
        <is>
          <t>251,66x</t>
        </is>
      </c>
      <c r="CX195" s="110" t="inlineStr">
        <is>
          <t>99</t>
        </is>
      </c>
      <c r="CY195" s="111" t="inlineStr">
        <is>
          <t>7,65x</t>
        </is>
      </c>
      <c r="CZ195" s="112" t="inlineStr">
        <is>
          <t>3,13%</t>
        </is>
      </c>
      <c r="DA195" s="113" t="inlineStr">
        <is>
          <t>27,63x</t>
        </is>
      </c>
      <c r="DB195" s="114" t="inlineStr">
        <is>
          <t>96</t>
        </is>
      </c>
      <c r="DC195" s="115" t="inlineStr">
        <is>
          <t>175,79x</t>
        </is>
      </c>
      <c r="DD195" s="116" t="inlineStr">
        <is>
          <t>98</t>
        </is>
      </c>
      <c r="DE195" s="117" t="inlineStr">
        <is>
          <t>54,40x</t>
        </is>
      </c>
      <c r="DF195" s="118" t="inlineStr">
        <is>
          <t>97</t>
        </is>
      </c>
      <c r="DG195" s="119" t="inlineStr">
        <is>
          <t>0,86x</t>
        </is>
      </c>
      <c r="DH195" s="120" t="inlineStr">
        <is>
          <t>47</t>
        </is>
      </c>
      <c r="DI195" s="121" t="inlineStr">
        <is>
          <t>351,53x</t>
        </is>
      </c>
      <c r="DJ195" s="122" t="inlineStr">
        <is>
          <t>98</t>
        </is>
      </c>
      <c r="DK195" s="123" t="inlineStr">
        <is>
          <t>0,05x</t>
        </is>
      </c>
      <c r="DL195" s="124" t="inlineStr">
        <is>
          <t>10</t>
        </is>
      </c>
      <c r="DM195" s="125" t="inlineStr">
        <is>
          <t>20.244</t>
        </is>
      </c>
      <c r="DN195" s="126" t="inlineStr">
        <is>
          <t>-317</t>
        </is>
      </c>
      <c r="DO195" s="127" t="inlineStr">
        <is>
          <t>-1,54%</t>
        </is>
      </c>
      <c r="DP195" s="128" t="inlineStr">
        <is>
          <t>278.234</t>
        </is>
      </c>
      <c r="DQ195" s="129" t="inlineStr">
        <is>
          <t>1.128</t>
        </is>
      </c>
      <c r="DR195" s="130" t="inlineStr">
        <is>
          <t>0,41%</t>
        </is>
      </c>
      <c r="DS195" s="131" t="inlineStr">
        <is>
          <t>30</t>
        </is>
      </c>
      <c r="DT195" s="132" t="inlineStr">
        <is>
          <t>1</t>
        </is>
      </c>
      <c r="DU195" s="133" t="inlineStr">
        <is>
          <t>3,45%</t>
        </is>
      </c>
      <c r="DV195" s="134" t="inlineStr">
        <is>
          <t>18</t>
        </is>
      </c>
      <c r="DW195" s="135" t="inlineStr">
        <is>
          <t>0</t>
        </is>
      </c>
      <c r="DX195" s="136" t="inlineStr">
        <is>
          <t>0,00%</t>
        </is>
      </c>
      <c r="DY195" s="137" t="inlineStr">
        <is>
          <t>PitchBook Research</t>
        </is>
      </c>
      <c r="DZ195" s="785">
        <f>HYPERLINK("https://my.pitchbook.com?c=64435-06", "View company online")</f>
      </c>
    </row>
    <row r="196">
      <c r="A196" s="139" t="inlineStr">
        <is>
          <t>162844-84</t>
        </is>
      </c>
      <c r="B196" s="140" t="inlineStr">
        <is>
          <t>Funnel.io</t>
        </is>
      </c>
      <c r="C196" s="141" t="inlineStr">
        <is>
          <t/>
        </is>
      </c>
      <c r="D196" s="142" t="inlineStr">
        <is>
          <t>Funnel</t>
        </is>
      </c>
      <c r="E196" s="143" t="inlineStr">
        <is>
          <t>162844-84</t>
        </is>
      </c>
      <c r="F196" s="144" t="inlineStr">
        <is>
          <t>Provider of business intelligence software for gathering and mapping advertising performance data. The company is an enterprise SaaS firm that collects business intelligence by automatically downloading the customer's data from any advertising network and structuring this information to reflect the data model of e-commerce. The company also offers features including overview and control on ad money spent, integration with Google Analytics, grouping of ad accounts to reflect business, and automatic data synchronization.</t>
        </is>
      </c>
      <c r="G196" s="145" t="inlineStr">
        <is>
          <t>Information Technology</t>
        </is>
      </c>
      <c r="H196" s="146" t="inlineStr">
        <is>
          <t>Software</t>
        </is>
      </c>
      <c r="I196" s="147" t="inlineStr">
        <is>
          <t>Application Software</t>
        </is>
      </c>
      <c r="J196" s="148" t="inlineStr">
        <is>
          <t>Application Software*; Automation/Workflow Software; Network Management Software; Business/Productivity Software</t>
        </is>
      </c>
      <c r="K196" s="149" t="inlineStr">
        <is>
          <t>SaaS</t>
        </is>
      </c>
      <c r="L196" s="150" t="inlineStr">
        <is>
          <t>Venture Capital-Backed</t>
        </is>
      </c>
      <c r="M196" s="151" t="n">
        <v>8.39</v>
      </c>
      <c r="N196" s="152" t="inlineStr">
        <is>
          <t>Generating Revenue</t>
        </is>
      </c>
      <c r="O196" s="153" t="inlineStr">
        <is>
          <t>Privately Held (backing)</t>
        </is>
      </c>
      <c r="P196" s="154" t="inlineStr">
        <is>
          <t>Venture Capital</t>
        </is>
      </c>
      <c r="Q196" s="155" t="inlineStr">
        <is>
          <t>www.funnel.io</t>
        </is>
      </c>
      <c r="R196" s="156" t="n">
        <v>32.0</v>
      </c>
      <c r="S196" s="157" t="inlineStr">
        <is>
          <t/>
        </is>
      </c>
      <c r="T196" s="158" t="inlineStr">
        <is>
          <t/>
        </is>
      </c>
      <c r="U196" s="159" t="n">
        <v>2014.0</v>
      </c>
      <c r="V196" s="160" t="inlineStr">
        <is>
          <t>Qwaya</t>
        </is>
      </c>
      <c r="W196" s="161" t="inlineStr">
        <is>
          <t/>
        </is>
      </c>
      <c r="X196" s="162" t="inlineStr">
        <is>
          <t/>
        </is>
      </c>
      <c r="Y196" s="163" t="inlineStr">
        <is>
          <t/>
        </is>
      </c>
      <c r="Z196" s="164" t="inlineStr">
        <is>
          <t/>
        </is>
      </c>
      <c r="AA196" s="165" t="inlineStr">
        <is>
          <t/>
        </is>
      </c>
      <c r="AB196" s="166" t="inlineStr">
        <is>
          <t/>
        </is>
      </c>
      <c r="AC196" s="167" t="inlineStr">
        <is>
          <t/>
        </is>
      </c>
      <c r="AD196" s="168" t="inlineStr">
        <is>
          <t/>
        </is>
      </c>
      <c r="AE196" s="169" t="inlineStr">
        <is>
          <t>50339-53P</t>
        </is>
      </c>
      <c r="AF196" s="170" t="inlineStr">
        <is>
          <t>Fredrik Skantze</t>
        </is>
      </c>
      <c r="AG196" s="171" t="inlineStr">
        <is>
          <t>Co-Founder &amp; Chief Executive Officer</t>
        </is>
      </c>
      <c r="AH196" s="172" t="inlineStr">
        <is>
          <t>fredrik@qwaya.com</t>
        </is>
      </c>
      <c r="AI196" s="173" t="inlineStr">
        <is>
          <t/>
        </is>
      </c>
      <c r="AJ196" s="174" t="inlineStr">
        <is>
          <t>Stockholm, Sweden</t>
        </is>
      </c>
      <c r="AK196" s="175" t="inlineStr">
        <is>
          <t>Jakobsbergsgatan 16</t>
        </is>
      </c>
      <c r="AL196" s="176" t="inlineStr">
        <is>
          <t/>
        </is>
      </c>
      <c r="AM196" s="177" t="inlineStr">
        <is>
          <t>Stockholm</t>
        </is>
      </c>
      <c r="AN196" s="178" t="inlineStr">
        <is>
          <t/>
        </is>
      </c>
      <c r="AO196" s="179" t="inlineStr">
        <is>
          <t/>
        </is>
      </c>
      <c r="AP196" s="180" t="inlineStr">
        <is>
          <t>Sweden</t>
        </is>
      </c>
      <c r="AQ196" s="181" t="inlineStr">
        <is>
          <t/>
        </is>
      </c>
      <c r="AR196" s="182" t="inlineStr">
        <is>
          <t/>
        </is>
      </c>
      <c r="AS196" s="183" t="inlineStr">
        <is>
          <t>info@funnel.io</t>
        </is>
      </c>
      <c r="AT196" s="184" t="inlineStr">
        <is>
          <t>Europe</t>
        </is>
      </c>
      <c r="AU196" s="185" t="inlineStr">
        <is>
          <t>Northern Europe</t>
        </is>
      </c>
      <c r="AV196" s="186" t="inlineStr">
        <is>
          <t>The company received $10 million Series A venture funding in a deal led by Balderton Capital on September 19, 2017. Industrifonden and Zobito also participated in the round. The funding will be used to develop the product beyond advertising platforms to work with any type of marketing data and for further U.S and Europe expansion.</t>
        </is>
      </c>
      <c r="AW196" s="187" t="inlineStr">
        <is>
          <t>Balderton Capital, Industrifonden, Zobito</t>
        </is>
      </c>
      <c r="AX196" s="188" t="n">
        <v>3.0</v>
      </c>
      <c r="AY196" s="189" t="inlineStr">
        <is>
          <t/>
        </is>
      </c>
      <c r="AZ196" s="190" t="inlineStr">
        <is>
          <t/>
        </is>
      </c>
      <c r="BA196" s="191" t="inlineStr">
        <is>
          <t/>
        </is>
      </c>
      <c r="BB196" s="192" t="inlineStr">
        <is>
          <t>Balderton Capital (www.balderton.com), Industrifonden (www.industrifonden.com), Zobito (www.zobito.com)</t>
        </is>
      </c>
      <c r="BC196" s="193" t="inlineStr">
        <is>
          <t/>
        </is>
      </c>
      <c r="BD196" s="194" t="inlineStr">
        <is>
          <t/>
        </is>
      </c>
      <c r="BE196" s="195" t="inlineStr">
        <is>
          <t/>
        </is>
      </c>
      <c r="BF196" s="196" t="inlineStr">
        <is>
          <t/>
        </is>
      </c>
      <c r="BG196" s="197" t="n">
        <v>42997.0</v>
      </c>
      <c r="BH196" s="198" t="n">
        <v>8.39</v>
      </c>
      <c r="BI196" s="199" t="inlineStr">
        <is>
          <t>Actual</t>
        </is>
      </c>
      <c r="BJ196" s="200" t="inlineStr">
        <is>
          <t/>
        </is>
      </c>
      <c r="BK196" s="201" t="inlineStr">
        <is>
          <t/>
        </is>
      </c>
      <c r="BL196" s="202" t="inlineStr">
        <is>
          <t>Early Stage VC</t>
        </is>
      </c>
      <c r="BM196" s="203" t="inlineStr">
        <is>
          <t>Series A</t>
        </is>
      </c>
      <c r="BN196" s="204" t="inlineStr">
        <is>
          <t/>
        </is>
      </c>
      <c r="BO196" s="205" t="inlineStr">
        <is>
          <t>Venture Capital</t>
        </is>
      </c>
      <c r="BP196" s="206" t="inlineStr">
        <is>
          <t/>
        </is>
      </c>
      <c r="BQ196" s="207" t="inlineStr">
        <is>
          <t/>
        </is>
      </c>
      <c r="BR196" s="208" t="inlineStr">
        <is>
          <t/>
        </is>
      </c>
      <c r="BS196" s="209" t="inlineStr">
        <is>
          <t>Completed</t>
        </is>
      </c>
      <c r="BT196" s="210" t="n">
        <v>42997.0</v>
      </c>
      <c r="BU196" s="211" t="n">
        <v>8.39</v>
      </c>
      <c r="BV196" s="212" t="inlineStr">
        <is>
          <t>Actual</t>
        </is>
      </c>
      <c r="BW196" s="213" t="inlineStr">
        <is>
          <t/>
        </is>
      </c>
      <c r="BX196" s="214" t="inlineStr">
        <is>
          <t/>
        </is>
      </c>
      <c r="BY196" s="215" t="inlineStr">
        <is>
          <t>Early Stage VC</t>
        </is>
      </c>
      <c r="BZ196" s="216" t="inlineStr">
        <is>
          <t>Series A</t>
        </is>
      </c>
      <c r="CA196" s="217" t="inlineStr">
        <is>
          <t/>
        </is>
      </c>
      <c r="CB196" s="218" t="inlineStr">
        <is>
          <t>Venture Capital</t>
        </is>
      </c>
      <c r="CC196" s="219" t="inlineStr">
        <is>
          <t/>
        </is>
      </c>
      <c r="CD196" s="220" t="inlineStr">
        <is>
          <t/>
        </is>
      </c>
      <c r="CE196" s="221" t="inlineStr">
        <is>
          <t/>
        </is>
      </c>
      <c r="CF196" s="222" t="inlineStr">
        <is>
          <t>Completed</t>
        </is>
      </c>
      <c r="CG196" s="223" t="inlineStr">
        <is>
          <t>-0,80%</t>
        </is>
      </c>
      <c r="CH196" s="224" t="inlineStr">
        <is>
          <t>16</t>
        </is>
      </c>
      <c r="CI196" s="225" t="inlineStr">
        <is>
          <t>-0,04%</t>
        </is>
      </c>
      <c r="CJ196" s="226" t="inlineStr">
        <is>
          <t>-5,48%</t>
        </is>
      </c>
      <c r="CK196" s="227" t="inlineStr">
        <is>
          <t>-4,82%</t>
        </is>
      </c>
      <c r="CL196" s="228" t="inlineStr">
        <is>
          <t>8</t>
        </is>
      </c>
      <c r="CM196" s="229" t="inlineStr">
        <is>
          <t>1,59%</t>
        </is>
      </c>
      <c r="CN196" s="230" t="inlineStr">
        <is>
          <t>98</t>
        </is>
      </c>
      <c r="CO196" s="231" t="inlineStr">
        <is>
          <t>-9,65%</t>
        </is>
      </c>
      <c r="CP196" s="232" t="inlineStr">
        <is>
          <t>13</t>
        </is>
      </c>
      <c r="CQ196" s="233" t="inlineStr">
        <is>
          <t>0,00%</t>
        </is>
      </c>
      <c r="CR196" s="234" t="inlineStr">
        <is>
          <t>20</t>
        </is>
      </c>
      <c r="CS196" s="235" t="inlineStr">
        <is>
          <t>0,25%</t>
        </is>
      </c>
      <c r="CT196" s="236" t="inlineStr">
        <is>
          <t>74</t>
        </is>
      </c>
      <c r="CU196" s="237" t="inlineStr">
        <is>
          <t>2,94%</t>
        </is>
      </c>
      <c r="CV196" s="238" t="inlineStr">
        <is>
          <t>100</t>
        </is>
      </c>
      <c r="CW196" s="239" t="inlineStr">
        <is>
          <t>8,88x</t>
        </is>
      </c>
      <c r="CX196" s="240" t="inlineStr">
        <is>
          <t>87</t>
        </is>
      </c>
      <c r="CY196" s="241" t="inlineStr">
        <is>
          <t>0,00x</t>
        </is>
      </c>
      <c r="CZ196" s="242" t="inlineStr">
        <is>
          <t>0,03%</t>
        </is>
      </c>
      <c r="DA196" s="243" t="inlineStr">
        <is>
          <t>16,41x</t>
        </is>
      </c>
      <c r="DB196" s="244" t="inlineStr">
        <is>
          <t>93</t>
        </is>
      </c>
      <c r="DC196" s="245" t="inlineStr">
        <is>
          <t>10,12x</t>
        </is>
      </c>
      <c r="DD196" s="246" t="inlineStr">
        <is>
          <t>84</t>
        </is>
      </c>
      <c r="DE196" s="247" t="inlineStr">
        <is>
          <t>32,41x</t>
        </is>
      </c>
      <c r="DF196" s="248" t="inlineStr">
        <is>
          <t>95</t>
        </is>
      </c>
      <c r="DG196" s="249" t="inlineStr">
        <is>
          <t>0,42x</t>
        </is>
      </c>
      <c r="DH196" s="250" t="inlineStr">
        <is>
          <t>32</t>
        </is>
      </c>
      <c r="DI196" s="251" t="inlineStr">
        <is>
          <t>7,88x</t>
        </is>
      </c>
      <c r="DJ196" s="252" t="inlineStr">
        <is>
          <t>79</t>
        </is>
      </c>
      <c r="DK196" s="253" t="inlineStr">
        <is>
          <t>12,36x</t>
        </is>
      </c>
      <c r="DL196" s="254" t="inlineStr">
        <is>
          <t>89</t>
        </is>
      </c>
      <c r="DM196" s="255" t="inlineStr">
        <is>
          <t>12.014</t>
        </is>
      </c>
      <c r="DN196" s="256" t="inlineStr">
        <is>
          <t>48</t>
        </is>
      </c>
      <c r="DO196" s="257" t="inlineStr">
        <is>
          <t>0,40%</t>
        </is>
      </c>
      <c r="DP196" s="258" t="inlineStr">
        <is>
          <t>6.233</t>
        </is>
      </c>
      <c r="DQ196" s="259" t="inlineStr">
        <is>
          <t>5</t>
        </is>
      </c>
      <c r="DR196" s="260" t="inlineStr">
        <is>
          <t>0,08%</t>
        </is>
      </c>
      <c r="DS196" s="261" t="inlineStr">
        <is>
          <t>15</t>
        </is>
      </c>
      <c r="DT196" s="262" t="inlineStr">
        <is>
          <t>0</t>
        </is>
      </c>
      <c r="DU196" s="263" t="inlineStr">
        <is>
          <t>0,00%</t>
        </is>
      </c>
      <c r="DV196" s="264" t="inlineStr">
        <is>
          <t>4.590</t>
        </is>
      </c>
      <c r="DW196" s="265" t="inlineStr">
        <is>
          <t>81</t>
        </is>
      </c>
      <c r="DX196" s="266" t="inlineStr">
        <is>
          <t>1,80%</t>
        </is>
      </c>
      <c r="DY196" s="267" t="inlineStr">
        <is>
          <t>PitchBook Research</t>
        </is>
      </c>
      <c r="DZ196" s="786">
        <f>HYPERLINK("https://my.pitchbook.com?c=162844-84", "View company online")</f>
      </c>
    </row>
    <row r="197">
      <c r="A197" s="9" t="inlineStr">
        <is>
          <t>186646-42</t>
        </is>
      </c>
      <c r="B197" s="10" t="inlineStr">
        <is>
          <t>Automaton Games</t>
        </is>
      </c>
      <c r="C197" s="11" t="inlineStr">
        <is>
          <t/>
        </is>
      </c>
      <c r="D197" s="12" t="inlineStr">
        <is>
          <t>Automaton</t>
        </is>
      </c>
      <c r="E197" s="13" t="inlineStr">
        <is>
          <t>186646-42</t>
        </is>
      </c>
      <c r="F197" s="14" t="inlineStr">
        <is>
          <t>Developer a next-generation multiplayer online gaming studio. The company's gaming studio develops multiplayer survival combat game, it utilizes a combination of innovative technology and creative talent to make games fun, fresh, and accessible</t>
        </is>
      </c>
      <c r="G197" s="15" t="inlineStr">
        <is>
          <t>Information Technology</t>
        </is>
      </c>
      <c r="H197" s="16" t="inlineStr">
        <is>
          <t>Software</t>
        </is>
      </c>
      <c r="I197" s="17" t="inlineStr">
        <is>
          <t>Entertainment Software</t>
        </is>
      </c>
      <c r="J197" s="18" t="inlineStr">
        <is>
          <t>Entertainment Software*</t>
        </is>
      </c>
      <c r="K197" s="19" t="inlineStr">
        <is>
          <t>Mobile</t>
        </is>
      </c>
      <c r="L197" s="20" t="inlineStr">
        <is>
          <t>Venture Capital-Backed</t>
        </is>
      </c>
      <c r="M197" s="21" t="n">
        <v>8.39</v>
      </c>
      <c r="N197" s="22" t="inlineStr">
        <is>
          <t>Product Development</t>
        </is>
      </c>
      <c r="O197" s="23" t="inlineStr">
        <is>
          <t>Privately Held (backing)</t>
        </is>
      </c>
      <c r="P197" s="24" t="inlineStr">
        <is>
          <t>Venture Capital</t>
        </is>
      </c>
      <c r="Q197" s="25" t="inlineStr">
        <is>
          <t>Automaton.uk</t>
        </is>
      </c>
      <c r="R197" s="26" t="inlineStr">
        <is>
          <t/>
        </is>
      </c>
      <c r="S197" s="27" t="inlineStr">
        <is>
          <t/>
        </is>
      </c>
      <c r="T197" s="28" t="inlineStr">
        <is>
          <t/>
        </is>
      </c>
      <c r="U197" s="29" t="n">
        <v>2015.0</v>
      </c>
      <c r="V197" s="30" t="inlineStr">
        <is>
          <t/>
        </is>
      </c>
      <c r="W197" s="31" t="inlineStr">
        <is>
          <t/>
        </is>
      </c>
      <c r="X197" s="32" t="inlineStr">
        <is>
          <t/>
        </is>
      </c>
      <c r="Y197" s="33" t="inlineStr">
        <is>
          <t/>
        </is>
      </c>
      <c r="Z197" s="34" t="inlineStr">
        <is>
          <t/>
        </is>
      </c>
      <c r="AA197" s="35" t="inlineStr">
        <is>
          <t/>
        </is>
      </c>
      <c r="AB197" s="36" t="inlineStr">
        <is>
          <t/>
        </is>
      </c>
      <c r="AC197" s="37" t="inlineStr">
        <is>
          <t/>
        </is>
      </c>
      <c r="AD197" s="38" t="inlineStr">
        <is>
          <t/>
        </is>
      </c>
      <c r="AE197" s="39" t="inlineStr">
        <is>
          <t>171139-51P</t>
        </is>
      </c>
      <c r="AF197" s="40" t="inlineStr">
        <is>
          <t>James Thompson</t>
        </is>
      </c>
      <c r="AG197" s="41" t="inlineStr">
        <is>
          <t>Co-Founder, Chief Executive Officer &amp; Board Member</t>
        </is>
      </c>
      <c r="AH197" s="42" t="inlineStr">
        <is>
          <t>james@automaton.uk</t>
        </is>
      </c>
      <c r="AI197" s="43" t="inlineStr">
        <is>
          <t/>
        </is>
      </c>
      <c r="AJ197" s="44" t="inlineStr">
        <is>
          <t>Cambridge, United Kingdom</t>
        </is>
      </c>
      <c r="AK197" s="45" t="inlineStr">
        <is>
          <t>Vitrum Building, Cowley Road</t>
        </is>
      </c>
      <c r="AL197" s="46" t="inlineStr">
        <is>
          <t/>
        </is>
      </c>
      <c r="AM197" s="47" t="inlineStr">
        <is>
          <t>Cambridge</t>
        </is>
      </c>
      <c r="AN197" s="48" t="inlineStr">
        <is>
          <t>England</t>
        </is>
      </c>
      <c r="AO197" s="49" t="inlineStr">
        <is>
          <t>CB4 0DS</t>
        </is>
      </c>
      <c r="AP197" s="50" t="inlineStr">
        <is>
          <t>United Kingdom</t>
        </is>
      </c>
      <c r="AQ197" s="51" t="inlineStr">
        <is>
          <t/>
        </is>
      </c>
      <c r="AR197" s="52" t="inlineStr">
        <is>
          <t/>
        </is>
      </c>
      <c r="AS197" s="53" t="inlineStr">
        <is>
          <t>info@automaton.uk</t>
        </is>
      </c>
      <c r="AT197" s="54" t="inlineStr">
        <is>
          <t>Europe</t>
        </is>
      </c>
      <c r="AU197" s="55" t="inlineStr">
        <is>
          <t>Western Europe</t>
        </is>
      </c>
      <c r="AV197" s="56" t="inlineStr">
        <is>
          <t>The company raised $10 million of venture funding from Cambridge Enterprise on September 19, 2017.</t>
        </is>
      </c>
      <c r="AW197" s="57" t="inlineStr">
        <is>
          <t>Cambridge Enterprise</t>
        </is>
      </c>
      <c r="AX197" s="58" t="n">
        <v>1.0</v>
      </c>
      <c r="AY197" s="59" t="inlineStr">
        <is>
          <t/>
        </is>
      </c>
      <c r="AZ197" s="60" t="inlineStr">
        <is>
          <t/>
        </is>
      </c>
      <c r="BA197" s="61" t="inlineStr">
        <is>
          <t/>
        </is>
      </c>
      <c r="BB197" s="62" t="inlineStr">
        <is>
          <t>Cambridge Enterprise (www.enterprise.cam.ac.uk)</t>
        </is>
      </c>
      <c r="BC197" s="63" t="inlineStr">
        <is>
          <t/>
        </is>
      </c>
      <c r="BD197" s="64" t="inlineStr">
        <is>
          <t/>
        </is>
      </c>
      <c r="BE197" s="65" t="inlineStr">
        <is>
          <t/>
        </is>
      </c>
      <c r="BF197" s="66" t="inlineStr">
        <is>
          <t/>
        </is>
      </c>
      <c r="BG197" s="67" t="n">
        <v>42997.0</v>
      </c>
      <c r="BH197" s="68" t="n">
        <v>8.39</v>
      </c>
      <c r="BI197" s="69" t="inlineStr">
        <is>
          <t>Actual</t>
        </is>
      </c>
      <c r="BJ197" s="70" t="inlineStr">
        <is>
          <t/>
        </is>
      </c>
      <c r="BK197" s="71" t="inlineStr">
        <is>
          <t/>
        </is>
      </c>
      <c r="BL197" s="72" t="inlineStr">
        <is>
          <t>Early Stage VC</t>
        </is>
      </c>
      <c r="BM197" s="73" t="inlineStr">
        <is>
          <t/>
        </is>
      </c>
      <c r="BN197" s="74" t="inlineStr">
        <is>
          <t/>
        </is>
      </c>
      <c r="BO197" s="75" t="inlineStr">
        <is>
          <t>Venture Capital</t>
        </is>
      </c>
      <c r="BP197" s="76" t="inlineStr">
        <is>
          <t/>
        </is>
      </c>
      <c r="BQ197" s="77" t="inlineStr">
        <is>
          <t/>
        </is>
      </c>
      <c r="BR197" s="78" t="inlineStr">
        <is>
          <t/>
        </is>
      </c>
      <c r="BS197" s="79" t="inlineStr">
        <is>
          <t>Completed</t>
        </is>
      </c>
      <c r="BT197" s="80" t="n">
        <v>42997.0</v>
      </c>
      <c r="BU197" s="81" t="n">
        <v>8.39</v>
      </c>
      <c r="BV197" s="82" t="inlineStr">
        <is>
          <t>Actual</t>
        </is>
      </c>
      <c r="BW197" s="83" t="inlineStr">
        <is>
          <t/>
        </is>
      </c>
      <c r="BX197" s="84" t="inlineStr">
        <is>
          <t/>
        </is>
      </c>
      <c r="BY197" s="85" t="inlineStr">
        <is>
          <t>Early Stage VC</t>
        </is>
      </c>
      <c r="BZ197" s="86" t="inlineStr">
        <is>
          <t/>
        </is>
      </c>
      <c r="CA197" s="87" t="inlineStr">
        <is>
          <t/>
        </is>
      </c>
      <c r="CB197" s="88" t="inlineStr">
        <is>
          <t>Venture Capital</t>
        </is>
      </c>
      <c r="CC197" s="89" t="inlineStr">
        <is>
          <t/>
        </is>
      </c>
      <c r="CD197" s="90" t="inlineStr">
        <is>
          <t/>
        </is>
      </c>
      <c r="CE197" s="91" t="inlineStr">
        <is>
          <t/>
        </is>
      </c>
      <c r="CF197" s="92" t="inlineStr">
        <is>
          <t>Completed</t>
        </is>
      </c>
      <c r="CG197" s="93" t="inlineStr">
        <is>
          <t>0,88%</t>
        </is>
      </c>
      <c r="CH197" s="94" t="inlineStr">
        <is>
          <t>94</t>
        </is>
      </c>
      <c r="CI197" s="95" t="inlineStr">
        <is>
          <t>-1,22%</t>
        </is>
      </c>
      <c r="CJ197" s="96" t="inlineStr">
        <is>
          <t>-58,20%</t>
        </is>
      </c>
      <c r="CK197" s="97" t="inlineStr">
        <is>
          <t>0,00%</t>
        </is>
      </c>
      <c r="CL197" s="98" t="inlineStr">
        <is>
          <t>28</t>
        </is>
      </c>
      <c r="CM197" s="99" t="inlineStr">
        <is>
          <t>1,76%</t>
        </is>
      </c>
      <c r="CN197" s="100" t="inlineStr">
        <is>
          <t>98</t>
        </is>
      </c>
      <c r="CO197" s="101" t="inlineStr">
        <is>
          <t/>
        </is>
      </c>
      <c r="CP197" s="102" t="inlineStr">
        <is>
          <t/>
        </is>
      </c>
      <c r="CQ197" s="103" t="inlineStr">
        <is>
          <t>0,00%</t>
        </is>
      </c>
      <c r="CR197" s="104" t="inlineStr">
        <is>
          <t>20</t>
        </is>
      </c>
      <c r="CS197" s="105" t="inlineStr">
        <is>
          <t>1,74%</t>
        </is>
      </c>
      <c r="CT197" s="106" t="inlineStr">
        <is>
          <t>98</t>
        </is>
      </c>
      <c r="CU197" s="107" t="inlineStr">
        <is>
          <t>1,78%</t>
        </is>
      </c>
      <c r="CV197" s="108" t="inlineStr">
        <is>
          <t>99</t>
        </is>
      </c>
      <c r="CW197" s="109" t="inlineStr">
        <is>
          <t>0,63x</t>
        </is>
      </c>
      <c r="CX197" s="110" t="inlineStr">
        <is>
          <t>38</t>
        </is>
      </c>
      <c r="CY197" s="111" t="inlineStr">
        <is>
          <t>0,31x</t>
        </is>
      </c>
      <c r="CZ197" s="112" t="inlineStr">
        <is>
          <t>94,75%</t>
        </is>
      </c>
      <c r="DA197" s="113" t="inlineStr">
        <is>
          <t>0,14x</t>
        </is>
      </c>
      <c r="DB197" s="114" t="inlineStr">
        <is>
          <t>12</t>
        </is>
      </c>
      <c r="DC197" s="115" t="inlineStr">
        <is>
          <t>1,12x</t>
        </is>
      </c>
      <c r="DD197" s="116" t="inlineStr">
        <is>
          <t>51</t>
        </is>
      </c>
      <c r="DE197" s="117" t="inlineStr">
        <is>
          <t/>
        </is>
      </c>
      <c r="DF197" s="118" t="inlineStr">
        <is>
          <t/>
        </is>
      </c>
      <c r="DG197" s="119" t="inlineStr">
        <is>
          <t>0,14x</t>
        </is>
      </c>
      <c r="DH197" s="120" t="inlineStr">
        <is>
          <t>14</t>
        </is>
      </c>
      <c r="DI197" s="121" t="inlineStr">
        <is>
          <t>0,33x</t>
        </is>
      </c>
      <c r="DJ197" s="122" t="inlineStr">
        <is>
          <t>32</t>
        </is>
      </c>
      <c r="DK197" s="123" t="inlineStr">
        <is>
          <t>1,92x</t>
        </is>
      </c>
      <c r="DL197" s="124" t="inlineStr">
        <is>
          <t>63</t>
        </is>
      </c>
      <c r="DM197" s="125" t="inlineStr">
        <is>
          <t/>
        </is>
      </c>
      <c r="DN197" s="126" t="inlineStr">
        <is>
          <t/>
        </is>
      </c>
      <c r="DO197" s="127" t="inlineStr">
        <is>
          <t/>
        </is>
      </c>
      <c r="DP197" s="128" t="inlineStr">
        <is>
          <t>257</t>
        </is>
      </c>
      <c r="DQ197" s="129" t="inlineStr">
        <is>
          <t>2</t>
        </is>
      </c>
      <c r="DR197" s="130" t="inlineStr">
        <is>
          <t>0,78%</t>
        </is>
      </c>
      <c r="DS197" s="131" t="inlineStr">
        <is>
          <t>5</t>
        </is>
      </c>
      <c r="DT197" s="132" t="inlineStr">
        <is>
          <t>0</t>
        </is>
      </c>
      <c r="DU197" s="133" t="inlineStr">
        <is>
          <t>0,00%</t>
        </is>
      </c>
      <c r="DV197" s="134" t="inlineStr">
        <is>
          <t>718</t>
        </is>
      </c>
      <c r="DW197" s="135" t="inlineStr">
        <is>
          <t>2</t>
        </is>
      </c>
      <c r="DX197" s="136" t="inlineStr">
        <is>
          <t>0,28%</t>
        </is>
      </c>
      <c r="DY197" s="137" t="inlineStr">
        <is>
          <t>PitchBook Research</t>
        </is>
      </c>
      <c r="DZ197" s="785">
        <f>HYPERLINK("https://my.pitchbook.com?c=186646-42", "View company online")</f>
      </c>
    </row>
    <row r="198">
      <c r="A198" s="139" t="inlineStr">
        <is>
          <t>179023-60</t>
        </is>
      </c>
      <c r="B198" s="140" t="inlineStr">
        <is>
          <t>Zego</t>
        </is>
      </c>
      <c r="C198" s="141" t="inlineStr">
        <is>
          <t>Tego</t>
        </is>
      </c>
      <c r="D198" s="142" t="inlineStr">
        <is>
          <t/>
        </is>
      </c>
      <c r="E198" s="143" t="inlineStr">
        <is>
          <t>179023-60</t>
        </is>
      </c>
      <c r="F198" s="144" t="inlineStr">
        <is>
          <t>Operator of an online on-demand insurance platform intended to make insurance flexible and more accessible for customers. The company's on-demand insurance platform provides pay-as-you-go insurance for drivers and riders who work flexibly with their own vehicles, enabling delivery drivers to pay for insurance only for the hours they are working as well as helps them to manage their own insurance and time.</t>
        </is>
      </c>
      <c r="G198" s="145" t="inlineStr">
        <is>
          <t>Financial Services</t>
        </is>
      </c>
      <c r="H198" s="146" t="inlineStr">
        <is>
          <t>Insurance</t>
        </is>
      </c>
      <c r="I198" s="147" t="inlineStr">
        <is>
          <t>Other Insurance</t>
        </is>
      </c>
      <c r="J198" s="148" t="inlineStr">
        <is>
          <t>Other Insurance*; Application Software; Social/Platform Software</t>
        </is>
      </c>
      <c r="K198" s="149" t="inlineStr">
        <is>
          <t>FinTech, InsurTech</t>
        </is>
      </c>
      <c r="L198" s="150" t="inlineStr">
        <is>
          <t>Venture Capital-Backed</t>
        </is>
      </c>
      <c r="M198" s="151" t="n">
        <v>8.4</v>
      </c>
      <c r="N198" s="152" t="inlineStr">
        <is>
          <t>Generating Revenue</t>
        </is>
      </c>
      <c r="O198" s="153" t="inlineStr">
        <is>
          <t>Privately Held (backing)</t>
        </is>
      </c>
      <c r="P198" s="154" t="inlineStr">
        <is>
          <t>Venture Capital</t>
        </is>
      </c>
      <c r="Q198" s="155" t="inlineStr">
        <is>
          <t>www.zegocover.com</t>
        </is>
      </c>
      <c r="R198" s="156" t="n">
        <v>33.0</v>
      </c>
      <c r="S198" s="157" t="inlineStr">
        <is>
          <t/>
        </is>
      </c>
      <c r="T198" s="158" t="inlineStr">
        <is>
          <t/>
        </is>
      </c>
      <c r="U198" s="159" t="n">
        <v>2016.0</v>
      </c>
      <c r="V198" s="160" t="inlineStr">
        <is>
          <t/>
        </is>
      </c>
      <c r="W198" s="161" t="inlineStr">
        <is>
          <t/>
        </is>
      </c>
      <c r="X198" s="162" t="inlineStr">
        <is>
          <t/>
        </is>
      </c>
      <c r="Y198" s="163" t="inlineStr">
        <is>
          <t/>
        </is>
      </c>
      <c r="Z198" s="164" t="inlineStr">
        <is>
          <t/>
        </is>
      </c>
      <c r="AA198" s="165" t="inlineStr">
        <is>
          <t/>
        </is>
      </c>
      <c r="AB198" s="166" t="inlineStr">
        <is>
          <t/>
        </is>
      </c>
      <c r="AC198" s="167" t="inlineStr">
        <is>
          <t/>
        </is>
      </c>
      <c r="AD198" s="168" t="inlineStr">
        <is>
          <t/>
        </is>
      </c>
      <c r="AE198" s="169" t="inlineStr">
        <is>
          <t>167329-54P</t>
        </is>
      </c>
      <c r="AF198" s="170" t="inlineStr">
        <is>
          <t>Harry Franks</t>
        </is>
      </c>
      <c r="AG198" s="171" t="inlineStr">
        <is>
          <t>Chief Executive Officer &amp; Co-Founder</t>
        </is>
      </c>
      <c r="AH198" s="172" t="inlineStr">
        <is>
          <t>harry@zegocover.com</t>
        </is>
      </c>
      <c r="AI198" s="173" t="inlineStr">
        <is>
          <t>+44 (0)20 3308 9800</t>
        </is>
      </c>
      <c r="AJ198" s="174" t="inlineStr">
        <is>
          <t>London, United Kingdom</t>
        </is>
      </c>
      <c r="AK198" s="175" t="inlineStr">
        <is>
          <t>Finsbury Business Centre</t>
        </is>
      </c>
      <c r="AL198" s="176" t="inlineStr">
        <is>
          <t>40 Bowling Green Lane</t>
        </is>
      </c>
      <c r="AM198" s="177" t="inlineStr">
        <is>
          <t>London</t>
        </is>
      </c>
      <c r="AN198" s="178" t="inlineStr">
        <is>
          <t>England</t>
        </is>
      </c>
      <c r="AO198" s="179" t="inlineStr">
        <is>
          <t>EC1R 0NE</t>
        </is>
      </c>
      <c r="AP198" s="180" t="inlineStr">
        <is>
          <t>United Kingdom</t>
        </is>
      </c>
      <c r="AQ198" s="181" t="inlineStr">
        <is>
          <t>+44 (0)20 3308 9800</t>
        </is>
      </c>
      <c r="AR198" s="182" t="inlineStr">
        <is>
          <t/>
        </is>
      </c>
      <c r="AS198" s="183" t="inlineStr">
        <is>
          <t>info@zegocover.com</t>
        </is>
      </c>
      <c r="AT198" s="184" t="inlineStr">
        <is>
          <t>Europe</t>
        </is>
      </c>
      <c r="AU198" s="185" t="inlineStr">
        <is>
          <t>Western Europe</t>
        </is>
      </c>
      <c r="AV198" s="186" t="inlineStr">
        <is>
          <t>The company raised GBP 6 million of Series A venture funding in a deal led by Balderton Capital on November 20, 2017. LocalGlobe and other undisclosed investors also participated in the round. The funds will be used to hire more specialists for the company's engineering team, hire staff to build key business functions and expand internationally in the next six months. Prior to that, the company raised GBP 1.4 million of seed funding in a deal led by LocalGlobe in December 2016. Aviva and other undisclosed investors also participated in this round.</t>
        </is>
      </c>
      <c r="AW198" s="187" t="inlineStr">
        <is>
          <t>Aviva, Balderton Capital, LocalGlobe</t>
        </is>
      </c>
      <c r="AX198" s="188" t="n">
        <v>3.0</v>
      </c>
      <c r="AY198" s="189" t="inlineStr">
        <is>
          <t/>
        </is>
      </c>
      <c r="AZ198" s="190" t="inlineStr">
        <is>
          <t/>
        </is>
      </c>
      <c r="BA198" s="191" t="inlineStr">
        <is>
          <t/>
        </is>
      </c>
      <c r="BB198" s="192" t="inlineStr">
        <is>
          <t>Aviva (www.aviva.com), Balderton Capital (www.balderton.com), LocalGlobe (www.localglobe.vc)</t>
        </is>
      </c>
      <c r="BC198" s="193" t="inlineStr">
        <is>
          <t/>
        </is>
      </c>
      <c r="BD198" s="194" t="inlineStr">
        <is>
          <t/>
        </is>
      </c>
      <c r="BE198" s="195" t="inlineStr">
        <is>
          <t/>
        </is>
      </c>
      <c r="BF198" s="196" t="inlineStr">
        <is>
          <t>Aviva (Underwriter)</t>
        </is>
      </c>
      <c r="BG198" s="197" t="n">
        <v>42614.0</v>
      </c>
      <c r="BH198" s="198" t="inlineStr">
        <is>
          <t/>
        </is>
      </c>
      <c r="BI198" s="199" t="inlineStr">
        <is>
          <t/>
        </is>
      </c>
      <c r="BJ198" s="200" t="inlineStr">
        <is>
          <t/>
        </is>
      </c>
      <c r="BK198" s="201" t="inlineStr">
        <is>
          <t/>
        </is>
      </c>
      <c r="BL198" s="202" t="inlineStr">
        <is>
          <t>Angel (individual)</t>
        </is>
      </c>
      <c r="BM198" s="203" t="inlineStr">
        <is>
          <t>Angel</t>
        </is>
      </c>
      <c r="BN198" s="204" t="inlineStr">
        <is>
          <t/>
        </is>
      </c>
      <c r="BO198" s="205" t="inlineStr">
        <is>
          <t>Individual</t>
        </is>
      </c>
      <c r="BP198" s="206" t="inlineStr">
        <is>
          <t/>
        </is>
      </c>
      <c r="BQ198" s="207" t="inlineStr">
        <is>
          <t/>
        </is>
      </c>
      <c r="BR198" s="208" t="inlineStr">
        <is>
          <t/>
        </is>
      </c>
      <c r="BS198" s="209" t="inlineStr">
        <is>
          <t>Completed</t>
        </is>
      </c>
      <c r="BT198" s="210" t="n">
        <v>43059.0</v>
      </c>
      <c r="BU198" s="211" t="n">
        <v>6.74</v>
      </c>
      <c r="BV198" s="212" t="inlineStr">
        <is>
          <t>Actual</t>
        </is>
      </c>
      <c r="BW198" s="213" t="inlineStr">
        <is>
          <t/>
        </is>
      </c>
      <c r="BX198" s="214" t="inlineStr">
        <is>
          <t/>
        </is>
      </c>
      <c r="BY198" s="215" t="inlineStr">
        <is>
          <t>Early Stage VC</t>
        </is>
      </c>
      <c r="BZ198" s="216" t="inlineStr">
        <is>
          <t>Series A</t>
        </is>
      </c>
      <c r="CA198" s="217" t="inlineStr">
        <is>
          <t/>
        </is>
      </c>
      <c r="CB198" s="218" t="inlineStr">
        <is>
          <t>Venture Capital</t>
        </is>
      </c>
      <c r="CC198" s="219" t="inlineStr">
        <is>
          <t/>
        </is>
      </c>
      <c r="CD198" s="220" t="inlineStr">
        <is>
          <t/>
        </is>
      </c>
      <c r="CE198" s="221" t="inlineStr">
        <is>
          <t/>
        </is>
      </c>
      <c r="CF198" s="222" t="inlineStr">
        <is>
          <t>Completed</t>
        </is>
      </c>
      <c r="CG198" s="223" t="inlineStr">
        <is>
          <t>0,11%</t>
        </is>
      </c>
      <c r="CH198" s="224" t="inlineStr">
        <is>
          <t>83</t>
        </is>
      </c>
      <c r="CI198" s="225" t="inlineStr">
        <is>
          <t>0,82%</t>
        </is>
      </c>
      <c r="CJ198" s="226" t="inlineStr">
        <is>
          <t>115,49%</t>
        </is>
      </c>
      <c r="CK198" s="227" t="inlineStr">
        <is>
          <t>-1,55%</t>
        </is>
      </c>
      <c r="CL198" s="228" t="inlineStr">
        <is>
          <t>16</t>
        </is>
      </c>
      <c r="CM198" s="229" t="inlineStr">
        <is>
          <t>1,77%</t>
        </is>
      </c>
      <c r="CN198" s="230" t="inlineStr">
        <is>
          <t>98</t>
        </is>
      </c>
      <c r="CO198" s="231" t="inlineStr">
        <is>
          <t>-3,11%</t>
        </is>
      </c>
      <c r="CP198" s="232" t="inlineStr">
        <is>
          <t>26</t>
        </is>
      </c>
      <c r="CQ198" s="233" t="inlineStr">
        <is>
          <t>0,00%</t>
        </is>
      </c>
      <c r="CR198" s="234" t="inlineStr">
        <is>
          <t>20</t>
        </is>
      </c>
      <c r="CS198" s="235" t="inlineStr">
        <is>
          <t>0,24%</t>
        </is>
      </c>
      <c r="CT198" s="236" t="inlineStr">
        <is>
          <t>73</t>
        </is>
      </c>
      <c r="CU198" s="237" t="inlineStr">
        <is>
          <t>3,30%</t>
        </is>
      </c>
      <c r="CV198" s="238" t="inlineStr">
        <is>
          <t>100</t>
        </is>
      </c>
      <c r="CW198" s="239" t="inlineStr">
        <is>
          <t>0,89x</t>
        </is>
      </c>
      <c r="CX198" s="240" t="inlineStr">
        <is>
          <t>46</t>
        </is>
      </c>
      <c r="CY198" s="241" t="inlineStr">
        <is>
          <t>0,03x</t>
        </is>
      </c>
      <c r="CZ198" s="242" t="inlineStr">
        <is>
          <t>3,96%</t>
        </is>
      </c>
      <c r="DA198" s="243" t="inlineStr">
        <is>
          <t>1,03x</t>
        </is>
      </c>
      <c r="DB198" s="244" t="inlineStr">
        <is>
          <t>52</t>
        </is>
      </c>
      <c r="DC198" s="245" t="inlineStr">
        <is>
          <t>0,75x</t>
        </is>
      </c>
      <c r="DD198" s="246" t="inlineStr">
        <is>
          <t>43</t>
        </is>
      </c>
      <c r="DE198" s="247" t="inlineStr">
        <is>
          <t>0,51x</t>
        </is>
      </c>
      <c r="DF198" s="248" t="inlineStr">
        <is>
          <t>34</t>
        </is>
      </c>
      <c r="DG198" s="249" t="inlineStr">
        <is>
          <t>1,56x</t>
        </is>
      </c>
      <c r="DH198" s="250" t="inlineStr">
        <is>
          <t>60</t>
        </is>
      </c>
      <c r="DI198" s="251" t="inlineStr">
        <is>
          <t>1,13x</t>
        </is>
      </c>
      <c r="DJ198" s="252" t="inlineStr">
        <is>
          <t>53</t>
        </is>
      </c>
      <c r="DK198" s="253" t="inlineStr">
        <is>
          <t>0,37x</t>
        </is>
      </c>
      <c r="DL198" s="254" t="inlineStr">
        <is>
          <t>33</t>
        </is>
      </c>
      <c r="DM198" s="255" t="inlineStr">
        <is>
          <t>186</t>
        </is>
      </c>
      <c r="DN198" s="256" t="inlineStr">
        <is>
          <t>15</t>
        </is>
      </c>
      <c r="DO198" s="257" t="inlineStr">
        <is>
          <t>8,77%</t>
        </is>
      </c>
      <c r="DP198" s="258" t="inlineStr">
        <is>
          <t>894</t>
        </is>
      </c>
      <c r="DQ198" s="259" t="inlineStr">
        <is>
          <t>4</t>
        </is>
      </c>
      <c r="DR198" s="260" t="inlineStr">
        <is>
          <t>0,45%</t>
        </is>
      </c>
      <c r="DS198" s="261" t="inlineStr">
        <is>
          <t>56</t>
        </is>
      </c>
      <c r="DT198" s="262" t="inlineStr">
        <is>
          <t>-1</t>
        </is>
      </c>
      <c r="DU198" s="263" t="inlineStr">
        <is>
          <t>-1,75%</t>
        </is>
      </c>
      <c r="DV198" s="264" t="inlineStr">
        <is>
          <t>124</t>
        </is>
      </c>
      <c r="DW198" s="265" t="inlineStr">
        <is>
          <t>43</t>
        </is>
      </c>
      <c r="DX198" s="266" t="inlineStr">
        <is>
          <t>53,09%</t>
        </is>
      </c>
      <c r="DY198" s="267" t="inlineStr">
        <is>
          <t>PitchBook Research</t>
        </is>
      </c>
      <c r="DZ198" s="786">
        <f>HYPERLINK("https://my.pitchbook.com?c=179023-60", "View company online")</f>
      </c>
    </row>
    <row r="199">
      <c r="A199" s="9" t="inlineStr">
        <is>
          <t>221785-48</t>
        </is>
      </c>
      <c r="B199" s="10" t="inlineStr">
        <is>
          <t>Winstrike</t>
        </is>
      </c>
      <c r="C199" s="11" t="inlineStr">
        <is>
          <t/>
        </is>
      </c>
      <c r="D199" s="12" t="inlineStr">
        <is>
          <t/>
        </is>
      </c>
      <c r="E199" s="13" t="inlineStr">
        <is>
          <t>221785-48</t>
        </is>
      </c>
      <c r="F199" s="14" t="inlineStr">
        <is>
          <t>Operator of an e-sports company intended to design and play cyber-sports and digital games. The company's e-sports platform focuses on developing mobile application based games, creation of gaming club network and marketing of digital games for cyber sporting events, enabling gaming enthusiasts to play cyber-sports games and engage with similar players online.</t>
        </is>
      </c>
      <c r="G199" s="15" t="inlineStr">
        <is>
          <t>Information Technology</t>
        </is>
      </c>
      <c r="H199" s="16" t="inlineStr">
        <is>
          <t>Software</t>
        </is>
      </c>
      <c r="I199" s="17" t="inlineStr">
        <is>
          <t>Entertainment Software</t>
        </is>
      </c>
      <c r="J199" s="18" t="inlineStr">
        <is>
          <t>Entertainment Software*; Software Development Applications; Social/Platform Software</t>
        </is>
      </c>
      <c r="K199" s="19" t="inlineStr">
        <is>
          <t>Mobile</t>
        </is>
      </c>
      <c r="L199" s="20" t="inlineStr">
        <is>
          <t>Angel-Backed</t>
        </is>
      </c>
      <c r="M199" s="21" t="n">
        <v>8.5</v>
      </c>
      <c r="N199" s="22" t="inlineStr">
        <is>
          <t>Generating Revenue</t>
        </is>
      </c>
      <c r="O199" s="23" t="inlineStr">
        <is>
          <t>Privately Held (backing)</t>
        </is>
      </c>
      <c r="P199" s="24" t="inlineStr">
        <is>
          <t>Pre-venture</t>
        </is>
      </c>
      <c r="Q199" s="25" t="inlineStr">
        <is>
          <t>www.winstrike.gg</t>
        </is>
      </c>
      <c r="R199" s="26" t="inlineStr">
        <is>
          <t/>
        </is>
      </c>
      <c r="S199" s="27" t="inlineStr">
        <is>
          <t/>
        </is>
      </c>
      <c r="T199" s="28" t="inlineStr">
        <is>
          <t/>
        </is>
      </c>
      <c r="U199" s="29" t="inlineStr">
        <is>
          <t/>
        </is>
      </c>
      <c r="V199" s="30" t="inlineStr">
        <is>
          <t/>
        </is>
      </c>
      <c r="W199" s="31" t="inlineStr">
        <is>
          <t/>
        </is>
      </c>
      <c r="X199" s="32" t="inlineStr">
        <is>
          <t/>
        </is>
      </c>
      <c r="Y199" s="33" t="inlineStr">
        <is>
          <t/>
        </is>
      </c>
      <c r="Z199" s="34" t="inlineStr">
        <is>
          <t/>
        </is>
      </c>
      <c r="AA199" s="35" t="inlineStr">
        <is>
          <t/>
        </is>
      </c>
      <c r="AB199" s="36" t="inlineStr">
        <is>
          <t/>
        </is>
      </c>
      <c r="AC199" s="37" t="inlineStr">
        <is>
          <t/>
        </is>
      </c>
      <c r="AD199" s="38" t="inlineStr">
        <is>
          <t/>
        </is>
      </c>
      <c r="AE199" s="39" t="inlineStr">
        <is>
          <t>173394-01P</t>
        </is>
      </c>
      <c r="AF199" s="40" t="inlineStr">
        <is>
          <t>Natalia Tsabinova</t>
        </is>
      </c>
      <c r="AG199" s="41" t="inlineStr">
        <is>
          <t>Co-Founder</t>
        </is>
      </c>
      <c r="AH199" s="42" t="inlineStr">
        <is>
          <t/>
        </is>
      </c>
      <c r="AI199" s="43" t="inlineStr">
        <is>
          <t/>
        </is>
      </c>
      <c r="AJ199" s="44" t="inlineStr">
        <is>
          <t>Moscow, Russia</t>
        </is>
      </c>
      <c r="AK199" s="45" t="inlineStr">
        <is>
          <t/>
        </is>
      </c>
      <c r="AL199" s="46" t="inlineStr">
        <is>
          <t/>
        </is>
      </c>
      <c r="AM199" s="47" t="inlineStr">
        <is>
          <t>Moscow</t>
        </is>
      </c>
      <c r="AN199" s="48" t="inlineStr">
        <is>
          <t/>
        </is>
      </c>
      <c r="AO199" s="49" t="inlineStr">
        <is>
          <t/>
        </is>
      </c>
      <c r="AP199" s="50" t="inlineStr">
        <is>
          <t>Russia</t>
        </is>
      </c>
      <c r="AQ199" s="51" t="inlineStr">
        <is>
          <t/>
        </is>
      </c>
      <c r="AR199" s="52" t="inlineStr">
        <is>
          <t/>
        </is>
      </c>
      <c r="AS199" s="53" t="inlineStr">
        <is>
          <t/>
        </is>
      </c>
      <c r="AT199" s="54" t="inlineStr">
        <is>
          <t>Europe</t>
        </is>
      </c>
      <c r="AU199" s="55" t="inlineStr">
        <is>
          <t>Eastern Europe</t>
        </is>
      </c>
      <c r="AV199" s="56" t="inlineStr">
        <is>
          <t>The company raised $10 million of angel funding from founder Nikolay Belykh and other undisclosed investors on October 27, 2017.</t>
        </is>
      </c>
      <c r="AW199" s="57" t="inlineStr">
        <is>
          <t/>
        </is>
      </c>
      <c r="AX199" s="58" t="inlineStr">
        <is>
          <t/>
        </is>
      </c>
      <c r="AY199" s="59" t="inlineStr">
        <is>
          <t/>
        </is>
      </c>
      <c r="AZ199" s="60" t="inlineStr">
        <is>
          <t/>
        </is>
      </c>
      <c r="BA199" s="61" t="inlineStr">
        <is>
          <t/>
        </is>
      </c>
      <c r="BB199" s="62" t="inlineStr">
        <is>
          <t/>
        </is>
      </c>
      <c r="BC199" s="63" t="inlineStr">
        <is>
          <t/>
        </is>
      </c>
      <c r="BD199" s="64" t="inlineStr">
        <is>
          <t/>
        </is>
      </c>
      <c r="BE199" s="65" t="inlineStr">
        <is>
          <t/>
        </is>
      </c>
      <c r="BF199" s="66" t="inlineStr">
        <is>
          <t/>
        </is>
      </c>
      <c r="BG199" s="67" t="n">
        <v>43035.0</v>
      </c>
      <c r="BH199" s="68" t="n">
        <v>8.5</v>
      </c>
      <c r="BI199" s="69" t="inlineStr">
        <is>
          <t>Actual</t>
        </is>
      </c>
      <c r="BJ199" s="70" t="inlineStr">
        <is>
          <t/>
        </is>
      </c>
      <c r="BK199" s="71" t="inlineStr">
        <is>
          <t/>
        </is>
      </c>
      <c r="BL199" s="72" t="inlineStr">
        <is>
          <t>Angel (individual)</t>
        </is>
      </c>
      <c r="BM199" s="73" t="inlineStr">
        <is>
          <t>Angel</t>
        </is>
      </c>
      <c r="BN199" s="74" t="inlineStr">
        <is>
          <t/>
        </is>
      </c>
      <c r="BO199" s="75" t="inlineStr">
        <is>
          <t>Individual</t>
        </is>
      </c>
      <c r="BP199" s="76" t="inlineStr">
        <is>
          <t/>
        </is>
      </c>
      <c r="BQ199" s="77" t="inlineStr">
        <is>
          <t/>
        </is>
      </c>
      <c r="BR199" s="78" t="inlineStr">
        <is>
          <t/>
        </is>
      </c>
      <c r="BS199" s="79" t="inlineStr">
        <is>
          <t>Completed</t>
        </is>
      </c>
      <c r="BT199" s="80" t="n">
        <v>43035.0</v>
      </c>
      <c r="BU199" s="81" t="n">
        <v>8.5</v>
      </c>
      <c r="BV199" s="82" t="inlineStr">
        <is>
          <t>Actual</t>
        </is>
      </c>
      <c r="BW199" s="83" t="inlineStr">
        <is>
          <t/>
        </is>
      </c>
      <c r="BX199" s="84" t="inlineStr">
        <is>
          <t/>
        </is>
      </c>
      <c r="BY199" s="85" t="inlineStr">
        <is>
          <t>Angel (individual)</t>
        </is>
      </c>
      <c r="BZ199" s="86" t="inlineStr">
        <is>
          <t>Angel</t>
        </is>
      </c>
      <c r="CA199" s="87" t="inlineStr">
        <is>
          <t/>
        </is>
      </c>
      <c r="CB199" s="88" t="inlineStr">
        <is>
          <t>Individual</t>
        </is>
      </c>
      <c r="CC199" s="89" t="inlineStr">
        <is>
          <t/>
        </is>
      </c>
      <c r="CD199" s="90" t="inlineStr">
        <is>
          <t/>
        </is>
      </c>
      <c r="CE199" s="91" t="inlineStr">
        <is>
          <t/>
        </is>
      </c>
      <c r="CF199" s="92" t="inlineStr">
        <is>
          <t>Completed</t>
        </is>
      </c>
      <c r="CG199" s="93" t="inlineStr">
        <is>
          <t/>
        </is>
      </c>
      <c r="CH199" s="94" t="inlineStr">
        <is>
          <t/>
        </is>
      </c>
      <c r="CI199" s="95" t="inlineStr">
        <is>
          <t/>
        </is>
      </c>
      <c r="CJ199" s="96" t="inlineStr">
        <is>
          <t/>
        </is>
      </c>
      <c r="CK199" s="97" t="inlineStr">
        <is>
          <t/>
        </is>
      </c>
      <c r="CL199" s="98" t="inlineStr">
        <is>
          <t/>
        </is>
      </c>
      <c r="CM199" s="99" t="inlineStr">
        <is>
          <t/>
        </is>
      </c>
      <c r="CN199" s="100" t="inlineStr">
        <is>
          <t/>
        </is>
      </c>
      <c r="CO199" s="101" t="inlineStr">
        <is>
          <t/>
        </is>
      </c>
      <c r="CP199" s="102" t="inlineStr">
        <is>
          <t/>
        </is>
      </c>
      <c r="CQ199" s="103" t="inlineStr">
        <is>
          <t/>
        </is>
      </c>
      <c r="CR199" s="104" t="inlineStr">
        <is>
          <t/>
        </is>
      </c>
      <c r="CS199" s="105" t="inlineStr">
        <is>
          <t/>
        </is>
      </c>
      <c r="CT199" s="106" t="inlineStr">
        <is>
          <t/>
        </is>
      </c>
      <c r="CU199" s="107" t="inlineStr">
        <is>
          <t/>
        </is>
      </c>
      <c r="CV199" s="108" t="inlineStr">
        <is>
          <t/>
        </is>
      </c>
      <c r="CW199" s="109" t="inlineStr">
        <is>
          <t/>
        </is>
      </c>
      <c r="CX199" s="110" t="inlineStr">
        <is>
          <t/>
        </is>
      </c>
      <c r="CY199" s="111" t="inlineStr">
        <is>
          <t/>
        </is>
      </c>
      <c r="CZ199" s="112" t="inlineStr">
        <is>
          <t/>
        </is>
      </c>
      <c r="DA199" s="113" t="inlineStr">
        <is>
          <t/>
        </is>
      </c>
      <c r="DB199" s="114" t="inlineStr">
        <is>
          <t/>
        </is>
      </c>
      <c r="DC199" s="115" t="inlineStr">
        <is>
          <t/>
        </is>
      </c>
      <c r="DD199" s="116" t="inlineStr">
        <is>
          <t/>
        </is>
      </c>
      <c r="DE199" s="117" t="inlineStr">
        <is>
          <t/>
        </is>
      </c>
      <c r="DF199" s="118" t="inlineStr">
        <is>
          <t/>
        </is>
      </c>
      <c r="DG199" s="119" t="inlineStr">
        <is>
          <t/>
        </is>
      </c>
      <c r="DH199" s="120" t="inlineStr">
        <is>
          <t/>
        </is>
      </c>
      <c r="DI199" s="121" t="inlineStr">
        <is>
          <t/>
        </is>
      </c>
      <c r="DJ199" s="122" t="inlineStr">
        <is>
          <t/>
        </is>
      </c>
      <c r="DK199" s="123" t="inlineStr">
        <is>
          <t/>
        </is>
      </c>
      <c r="DL199" s="124" t="inlineStr">
        <is>
          <t/>
        </is>
      </c>
      <c r="DM199" s="125" t="inlineStr">
        <is>
          <t/>
        </is>
      </c>
      <c r="DN199" s="126" t="inlineStr">
        <is>
          <t/>
        </is>
      </c>
      <c r="DO199" s="127" t="inlineStr">
        <is>
          <t/>
        </is>
      </c>
      <c r="DP199" s="128" t="inlineStr">
        <is>
          <t/>
        </is>
      </c>
      <c r="DQ199" s="129" t="inlineStr">
        <is>
          <t/>
        </is>
      </c>
      <c r="DR199" s="130" t="inlineStr">
        <is>
          <t/>
        </is>
      </c>
      <c r="DS199" s="131" t="inlineStr">
        <is>
          <t/>
        </is>
      </c>
      <c r="DT199" s="132" t="inlineStr">
        <is>
          <t/>
        </is>
      </c>
      <c r="DU199" s="133" t="inlineStr">
        <is>
          <t/>
        </is>
      </c>
      <c r="DV199" s="134" t="inlineStr">
        <is>
          <t/>
        </is>
      </c>
      <c r="DW199" s="135" t="inlineStr">
        <is>
          <t/>
        </is>
      </c>
      <c r="DX199" s="136" t="inlineStr">
        <is>
          <t/>
        </is>
      </c>
      <c r="DY199" s="137" t="inlineStr">
        <is>
          <t>PitchBook Research</t>
        </is>
      </c>
      <c r="DZ199" s="785">
        <f>HYPERLINK("https://my.pitchbook.com?c=221785-48", "View company online")</f>
      </c>
    </row>
    <row r="200">
      <c r="A200" s="139" t="inlineStr">
        <is>
          <t>188036-47</t>
        </is>
      </c>
      <c r="B200" s="140" t="inlineStr">
        <is>
          <t>Comino</t>
        </is>
      </c>
      <c r="C200" s="141" t="inlineStr">
        <is>
          <t/>
        </is>
      </c>
      <c r="D200" s="142" t="inlineStr">
        <is>
          <t/>
        </is>
      </c>
      <c r="E200" s="143" t="inlineStr">
        <is>
          <t>188036-47</t>
        </is>
      </c>
      <c r="F200" s="144" t="inlineStr">
        <is>
          <t>Provider of a professional mining device intended to design and implement liquid cooling services for data center. The company's professional mining device specializies in energy-efficient hardware and advanced cooling techniques through it's plug-and-play cryptocurrency miner, enabling businesses to automatically select and mine the most profitable cryptocurrency based on market fluctuations.</t>
        </is>
      </c>
      <c r="G200" s="145" t="inlineStr">
        <is>
          <t>Information Technology</t>
        </is>
      </c>
      <c r="H200" s="146" t="inlineStr">
        <is>
          <t>Software</t>
        </is>
      </c>
      <c r="I200" s="147" t="inlineStr">
        <is>
          <t>Database Software</t>
        </is>
      </c>
      <c r="J200" s="148" t="inlineStr">
        <is>
          <t>Database Software*</t>
        </is>
      </c>
      <c r="K200" s="149" t="inlineStr">
        <is>
          <t>Big Data, FinTech</t>
        </is>
      </c>
      <c r="L200" s="150" t="inlineStr">
        <is>
          <t>Venture Capital-Backed</t>
        </is>
      </c>
      <c r="M200" s="151" t="n">
        <v>8.5</v>
      </c>
      <c r="N200" s="152" t="inlineStr">
        <is>
          <t>Generating Revenue</t>
        </is>
      </c>
      <c r="O200" s="153" t="inlineStr">
        <is>
          <t>Privately Held (backing)</t>
        </is>
      </c>
      <c r="P200" s="154" t="inlineStr">
        <is>
          <t>Venture Capital</t>
        </is>
      </c>
      <c r="Q200" s="155" t="inlineStr">
        <is>
          <t>www.comino.io</t>
        </is>
      </c>
      <c r="R200" s="156" t="inlineStr">
        <is>
          <t/>
        </is>
      </c>
      <c r="S200" s="157" t="inlineStr">
        <is>
          <t/>
        </is>
      </c>
      <c r="T200" s="158" t="inlineStr">
        <is>
          <t/>
        </is>
      </c>
      <c r="U200" s="159" t="n">
        <v>2017.0</v>
      </c>
      <c r="V200" s="160" t="inlineStr">
        <is>
          <t/>
        </is>
      </c>
      <c r="W200" s="161" t="inlineStr">
        <is>
          <t/>
        </is>
      </c>
      <c r="X200" s="162" t="inlineStr">
        <is>
          <t/>
        </is>
      </c>
      <c r="Y200" s="163" t="inlineStr">
        <is>
          <t/>
        </is>
      </c>
      <c r="Z200" s="164" t="inlineStr">
        <is>
          <t/>
        </is>
      </c>
      <c r="AA200" s="165" t="inlineStr">
        <is>
          <t/>
        </is>
      </c>
      <c r="AB200" s="166" t="inlineStr">
        <is>
          <t/>
        </is>
      </c>
      <c r="AC200" s="167" t="inlineStr">
        <is>
          <t/>
        </is>
      </c>
      <c r="AD200" s="168" t="inlineStr">
        <is>
          <t/>
        </is>
      </c>
      <c r="AE200" s="169" t="inlineStr">
        <is>
          <t>172517-05P</t>
        </is>
      </c>
      <c r="AF200" s="170" t="inlineStr">
        <is>
          <t>Evgeny Vlasov</t>
        </is>
      </c>
      <c r="AG200" s="171" t="inlineStr">
        <is>
          <t>Chief Executive Officer &amp; Co-Founder</t>
        </is>
      </c>
      <c r="AH200" s="172" t="inlineStr">
        <is>
          <t>vlasov@comino.io</t>
        </is>
      </c>
      <c r="AI200" s="173" t="inlineStr">
        <is>
          <t/>
        </is>
      </c>
      <c r="AJ200" s="174" t="inlineStr">
        <is>
          <t>Russia</t>
        </is>
      </c>
      <c r="AK200" s="175" t="inlineStr">
        <is>
          <t/>
        </is>
      </c>
      <c r="AL200" s="176" t="inlineStr">
        <is>
          <t/>
        </is>
      </c>
      <c r="AM200" s="177" t="inlineStr">
        <is>
          <t/>
        </is>
      </c>
      <c r="AN200" s="178" t="inlineStr">
        <is>
          <t/>
        </is>
      </c>
      <c r="AO200" s="179" t="inlineStr">
        <is>
          <t/>
        </is>
      </c>
      <c r="AP200" s="180" t="inlineStr">
        <is>
          <t>Russia</t>
        </is>
      </c>
      <c r="AQ200" s="181" t="inlineStr">
        <is>
          <t/>
        </is>
      </c>
      <c r="AR200" s="182" t="inlineStr">
        <is>
          <t/>
        </is>
      </c>
      <c r="AS200" s="183" t="inlineStr">
        <is>
          <t>info@comino.io</t>
        </is>
      </c>
      <c r="AT200" s="184" t="inlineStr">
        <is>
          <t>Europe</t>
        </is>
      </c>
      <c r="AU200" s="185" t="inlineStr">
        <is>
          <t>Eastern Europe</t>
        </is>
      </c>
      <c r="AV200" s="186" t="inlineStr">
        <is>
          <t>The company raised $10 million of venture funding from Exantech on October 11, 2017. The funds will be used to initiate mass production as well as develop new generations of devices and software.</t>
        </is>
      </c>
      <c r="AW200" s="187" t="inlineStr">
        <is>
          <t>Exantech</t>
        </is>
      </c>
      <c r="AX200" s="188" t="n">
        <v>1.0</v>
      </c>
      <c r="AY200" s="189" t="inlineStr">
        <is>
          <t/>
        </is>
      </c>
      <c r="AZ200" s="190" t="inlineStr">
        <is>
          <t/>
        </is>
      </c>
      <c r="BA200" s="191" t="inlineStr">
        <is>
          <t/>
        </is>
      </c>
      <c r="BB200" s="192" t="inlineStr">
        <is>
          <t>Exantech (www.exan.tech)</t>
        </is>
      </c>
      <c r="BC200" s="193" t="inlineStr">
        <is>
          <t/>
        </is>
      </c>
      <c r="BD200" s="194" t="inlineStr">
        <is>
          <t/>
        </is>
      </c>
      <c r="BE200" s="195" t="inlineStr">
        <is>
          <t/>
        </is>
      </c>
      <c r="BF200" s="196" t="inlineStr">
        <is>
          <t/>
        </is>
      </c>
      <c r="BG200" s="197" t="n">
        <v>43019.0</v>
      </c>
      <c r="BH200" s="198" t="n">
        <v>8.5</v>
      </c>
      <c r="BI200" s="199" t="inlineStr">
        <is>
          <t>Actual</t>
        </is>
      </c>
      <c r="BJ200" s="200" t="inlineStr">
        <is>
          <t/>
        </is>
      </c>
      <c r="BK200" s="201" t="inlineStr">
        <is>
          <t/>
        </is>
      </c>
      <c r="BL200" s="202" t="inlineStr">
        <is>
          <t>Early Stage VC</t>
        </is>
      </c>
      <c r="BM200" s="203" t="inlineStr">
        <is>
          <t/>
        </is>
      </c>
      <c r="BN200" s="204" t="inlineStr">
        <is>
          <t/>
        </is>
      </c>
      <c r="BO200" s="205" t="inlineStr">
        <is>
          <t>Venture Capital</t>
        </is>
      </c>
      <c r="BP200" s="206" t="inlineStr">
        <is>
          <t/>
        </is>
      </c>
      <c r="BQ200" s="207" t="inlineStr">
        <is>
          <t/>
        </is>
      </c>
      <c r="BR200" s="208" t="inlineStr">
        <is>
          <t/>
        </is>
      </c>
      <c r="BS200" s="209" t="inlineStr">
        <is>
          <t>Completed</t>
        </is>
      </c>
      <c r="BT200" s="210" t="n">
        <v>43019.0</v>
      </c>
      <c r="BU200" s="211" t="n">
        <v>8.5</v>
      </c>
      <c r="BV200" s="212" t="inlineStr">
        <is>
          <t>Actual</t>
        </is>
      </c>
      <c r="BW200" s="213" t="inlineStr">
        <is>
          <t/>
        </is>
      </c>
      <c r="BX200" s="214" t="inlineStr">
        <is>
          <t/>
        </is>
      </c>
      <c r="BY200" s="215" t="inlineStr">
        <is>
          <t>Early Stage VC</t>
        </is>
      </c>
      <c r="BZ200" s="216" t="inlineStr">
        <is>
          <t/>
        </is>
      </c>
      <c r="CA200" s="217" t="inlineStr">
        <is>
          <t/>
        </is>
      </c>
      <c r="CB200" s="218" t="inlineStr">
        <is>
          <t>Venture Capital</t>
        </is>
      </c>
      <c r="CC200" s="219" t="inlineStr">
        <is>
          <t/>
        </is>
      </c>
      <c r="CD200" s="220" t="inlineStr">
        <is>
          <t/>
        </is>
      </c>
      <c r="CE200" s="221" t="inlineStr">
        <is>
          <t/>
        </is>
      </c>
      <c r="CF200" s="222" t="inlineStr">
        <is>
          <t>Completed</t>
        </is>
      </c>
      <c r="CG200" s="223" t="inlineStr">
        <is>
          <t>0,00%</t>
        </is>
      </c>
      <c r="CH200" s="224" t="inlineStr">
        <is>
          <t>33</t>
        </is>
      </c>
      <c r="CI200" s="225" t="inlineStr">
        <is>
          <t/>
        </is>
      </c>
      <c r="CJ200" s="226" t="inlineStr">
        <is>
          <t/>
        </is>
      </c>
      <c r="CK200" s="227" t="inlineStr">
        <is>
          <t/>
        </is>
      </c>
      <c r="CL200" s="228" t="inlineStr">
        <is>
          <t/>
        </is>
      </c>
      <c r="CM200" s="229" t="inlineStr">
        <is>
          <t>0,00%</t>
        </is>
      </c>
      <c r="CN200" s="230" t="inlineStr">
        <is>
          <t>20</t>
        </is>
      </c>
      <c r="CO200" s="231" t="inlineStr">
        <is>
          <t/>
        </is>
      </c>
      <c r="CP200" s="232" t="inlineStr">
        <is>
          <t/>
        </is>
      </c>
      <c r="CQ200" s="233" t="inlineStr">
        <is>
          <t/>
        </is>
      </c>
      <c r="CR200" s="234" t="inlineStr">
        <is>
          <t/>
        </is>
      </c>
      <c r="CS200" s="235" t="inlineStr">
        <is>
          <t>0,00%</t>
        </is>
      </c>
      <c r="CT200" s="236" t="inlineStr">
        <is>
          <t>18</t>
        </is>
      </c>
      <c r="CU200" s="237" t="inlineStr">
        <is>
          <t/>
        </is>
      </c>
      <c r="CV200" s="238" t="inlineStr">
        <is>
          <t/>
        </is>
      </c>
      <c r="CW200" s="239" t="inlineStr">
        <is>
          <t>0,06x</t>
        </is>
      </c>
      <c r="CX200" s="240" t="inlineStr">
        <is>
          <t>4</t>
        </is>
      </c>
      <c r="CY200" s="241" t="inlineStr">
        <is>
          <t/>
        </is>
      </c>
      <c r="CZ200" s="242" t="inlineStr">
        <is>
          <t/>
        </is>
      </c>
      <c r="DA200" s="243" t="inlineStr">
        <is>
          <t/>
        </is>
      </c>
      <c r="DB200" s="244" t="inlineStr">
        <is>
          <t/>
        </is>
      </c>
      <c r="DC200" s="245" t="inlineStr">
        <is>
          <t>0,06x</t>
        </is>
      </c>
      <c r="DD200" s="246" t="inlineStr">
        <is>
          <t>9</t>
        </is>
      </c>
      <c r="DE200" s="247" t="inlineStr">
        <is>
          <t/>
        </is>
      </c>
      <c r="DF200" s="248" t="inlineStr">
        <is>
          <t/>
        </is>
      </c>
      <c r="DG200" s="249" t="inlineStr">
        <is>
          <t/>
        </is>
      </c>
      <c r="DH200" s="250" t="inlineStr">
        <is>
          <t/>
        </is>
      </c>
      <c r="DI200" s="251" t="inlineStr">
        <is>
          <t>0,06x</t>
        </is>
      </c>
      <c r="DJ200" s="252" t="inlineStr">
        <is>
          <t>9</t>
        </is>
      </c>
      <c r="DK200" s="253" t="inlineStr">
        <is>
          <t/>
        </is>
      </c>
      <c r="DL200" s="254" t="inlineStr">
        <is>
          <t/>
        </is>
      </c>
      <c r="DM200" s="255" t="inlineStr">
        <is>
          <t/>
        </is>
      </c>
      <c r="DN200" s="256" t="inlineStr">
        <is>
          <t/>
        </is>
      </c>
      <c r="DO200" s="257" t="inlineStr">
        <is>
          <t/>
        </is>
      </c>
      <c r="DP200" s="258" t="inlineStr">
        <is>
          <t>46</t>
        </is>
      </c>
      <c r="DQ200" s="259" t="inlineStr">
        <is>
          <t>1</t>
        </is>
      </c>
      <c r="DR200" s="260" t="inlineStr">
        <is>
          <t>2,22%</t>
        </is>
      </c>
      <c r="DS200" s="261" t="inlineStr">
        <is>
          <t/>
        </is>
      </c>
      <c r="DT200" s="262" t="inlineStr">
        <is>
          <t/>
        </is>
      </c>
      <c r="DU200" s="263" t="inlineStr">
        <is>
          <t/>
        </is>
      </c>
      <c r="DV200" s="264" t="inlineStr">
        <is>
          <t/>
        </is>
      </c>
      <c r="DW200" s="265" t="inlineStr">
        <is>
          <t/>
        </is>
      </c>
      <c r="DX200" s="266" t="inlineStr">
        <is>
          <t/>
        </is>
      </c>
      <c r="DY200" s="267" t="inlineStr">
        <is>
          <t>PitchBook Research</t>
        </is>
      </c>
      <c r="DZ200" s="786">
        <f>HYPERLINK("https://my.pitchbook.com?c=188036-47", "View company online")</f>
      </c>
    </row>
    <row r="201">
      <c r="A201" s="9" t="inlineStr">
        <is>
          <t>64934-92</t>
        </is>
      </c>
      <c r="B201" s="10" t="inlineStr">
        <is>
          <t>CardioLogs</t>
        </is>
      </c>
      <c r="C201" s="11" t="inlineStr">
        <is>
          <t/>
        </is>
      </c>
      <c r="D201" s="12" t="inlineStr">
        <is>
          <t>CardioLog</t>
        </is>
      </c>
      <c r="E201" s="13" t="inlineStr">
        <is>
          <t>64934-92</t>
        </is>
      </c>
      <c r="F201" s="14" t="inlineStr">
        <is>
          <t>Developer of a patient screening software platform designed to help healthcare professional accurately and reliably screen patients for cardiovascular diseases. The company's patient screening software platform offers an automatic heart disorder screener and ECG analysis web services, based on machine learning algorithms, which provides physicians with supportive information for ECG interpretation, enabling them to screen patients and assist them in the management of patients with cardiac disorders.</t>
        </is>
      </c>
      <c r="G201" s="15" t="inlineStr">
        <is>
          <t>Information Technology</t>
        </is>
      </c>
      <c r="H201" s="16" t="inlineStr">
        <is>
          <t>Software</t>
        </is>
      </c>
      <c r="I201" s="17" t="inlineStr">
        <is>
          <t>Social/Platform Software</t>
        </is>
      </c>
      <c r="J201" s="18" t="inlineStr">
        <is>
          <t>Social/Platform Software*; Diagnostic Equipment; Decision/Risk Analysis</t>
        </is>
      </c>
      <c r="K201" s="19" t="inlineStr">
        <is>
          <t>Artificial Intelligence &amp; Machine Learning, Big Data, SaaS</t>
        </is>
      </c>
      <c r="L201" s="20" t="inlineStr">
        <is>
          <t>Venture Capital-Backed</t>
        </is>
      </c>
      <c r="M201" s="21" t="n">
        <v>8.53</v>
      </c>
      <c r="N201" s="22" t="inlineStr">
        <is>
          <t>Startup</t>
        </is>
      </c>
      <c r="O201" s="23" t="inlineStr">
        <is>
          <t>Privately Held (backing)</t>
        </is>
      </c>
      <c r="P201" s="24" t="inlineStr">
        <is>
          <t>Venture Capital</t>
        </is>
      </c>
      <c r="Q201" s="25" t="inlineStr">
        <is>
          <t>www.cardiologs.com</t>
        </is>
      </c>
      <c r="R201" s="26" t="n">
        <v>15.0</v>
      </c>
      <c r="S201" s="27" t="inlineStr">
        <is>
          <t/>
        </is>
      </c>
      <c r="T201" s="28" t="inlineStr">
        <is>
          <t/>
        </is>
      </c>
      <c r="U201" s="29" t="n">
        <v>2014.0</v>
      </c>
      <c r="V201" s="30" t="inlineStr">
        <is>
          <t/>
        </is>
      </c>
      <c r="W201" s="31" t="inlineStr">
        <is>
          <t/>
        </is>
      </c>
      <c r="X201" s="32" t="inlineStr">
        <is>
          <t/>
        </is>
      </c>
      <c r="Y201" s="33" t="inlineStr">
        <is>
          <t/>
        </is>
      </c>
      <c r="Z201" s="34" t="inlineStr">
        <is>
          <t/>
        </is>
      </c>
      <c r="AA201" s="35" t="inlineStr">
        <is>
          <t/>
        </is>
      </c>
      <c r="AB201" s="36" t="inlineStr">
        <is>
          <t/>
        </is>
      </c>
      <c r="AC201" s="37" t="inlineStr">
        <is>
          <t/>
        </is>
      </c>
      <c r="AD201" s="38" t="inlineStr">
        <is>
          <t/>
        </is>
      </c>
      <c r="AE201" s="39" t="inlineStr">
        <is>
          <t>72691-57P</t>
        </is>
      </c>
      <c r="AF201" s="40" t="inlineStr">
        <is>
          <t>Yann Fleureau</t>
        </is>
      </c>
      <c r="AG201" s="41" t="inlineStr">
        <is>
          <t>Co-Founder &amp; Chief Executive Officer</t>
        </is>
      </c>
      <c r="AH201" s="42" t="inlineStr">
        <is>
          <t>yann@cardiologs.com</t>
        </is>
      </c>
      <c r="AI201" s="43" t="inlineStr">
        <is>
          <t>+33 (0)6 87 24 89 10</t>
        </is>
      </c>
      <c r="AJ201" s="44" t="inlineStr">
        <is>
          <t>Paris, France</t>
        </is>
      </c>
      <c r="AK201" s="45" t="inlineStr">
        <is>
          <t>15 rue de l'Ecole de Médecine</t>
        </is>
      </c>
      <c r="AL201" s="46" t="inlineStr">
        <is>
          <t>Escalier D</t>
        </is>
      </c>
      <c r="AM201" s="47" t="inlineStr">
        <is>
          <t>Paris</t>
        </is>
      </c>
      <c r="AN201" s="48" t="inlineStr">
        <is>
          <t/>
        </is>
      </c>
      <c r="AO201" s="49" t="inlineStr">
        <is>
          <t>75006</t>
        </is>
      </c>
      <c r="AP201" s="50" t="inlineStr">
        <is>
          <t>France</t>
        </is>
      </c>
      <c r="AQ201" s="51" t="inlineStr">
        <is>
          <t/>
        </is>
      </c>
      <c r="AR201" s="52" t="inlineStr">
        <is>
          <t/>
        </is>
      </c>
      <c r="AS201" s="53" t="inlineStr">
        <is>
          <t>contact@cardiologs.com</t>
        </is>
      </c>
      <c r="AT201" s="54" t="inlineStr">
        <is>
          <t>Europe</t>
        </is>
      </c>
      <c r="AU201" s="55" t="inlineStr">
        <is>
          <t>Western Europe</t>
        </is>
      </c>
      <c r="AV201" s="56" t="inlineStr">
        <is>
          <t>The company raised $6.4 million of Series A venture funding from IdInvest Partners, ISAI and Kurma Partners on October 5, 2017. Partech Ventures and Bpifrance also participated in the round. The funding will be used to fast-forward commercialization of the Cardiologs ECG Analysis Platform in the United States and Europe.</t>
        </is>
      </c>
      <c r="AW201" s="57" t="inlineStr">
        <is>
          <t>Agoranov, Bpifrance, California École Polytechnique Alumni for the Master in Entrepreneurship, Founder.org, French Ministry of Economy, IdInvest Partners, ISAI, Kurma Partners, Partech Ventures, StartX</t>
        </is>
      </c>
      <c r="AX201" s="58" t="n">
        <v>10.0</v>
      </c>
      <c r="AY201" s="59" t="inlineStr">
        <is>
          <t/>
        </is>
      </c>
      <c r="AZ201" s="60" t="inlineStr">
        <is>
          <t/>
        </is>
      </c>
      <c r="BA201" s="61" t="inlineStr">
        <is>
          <t/>
        </is>
      </c>
      <c r="BB201" s="62" t="inlineStr">
        <is>
          <t>Agoranov (www.agoranov.com), Bpifrance (www.bpifrance.fr), Founder.org (www.founder.org), IdInvest Partners (www.idinvest.com), ISAI (www.isai.fr), Kurma Partners (www.kurmapartners.com), Partech Ventures (www.partechventures.com), StartX (www.startx.com)</t>
        </is>
      </c>
      <c r="BC201" s="63" t="inlineStr">
        <is>
          <t/>
        </is>
      </c>
      <c r="BD201" s="64" t="inlineStr">
        <is>
          <t/>
        </is>
      </c>
      <c r="BE201" s="65" t="inlineStr">
        <is>
          <t/>
        </is>
      </c>
      <c r="BF201" s="66" t="inlineStr">
        <is>
          <t/>
        </is>
      </c>
      <c r="BG201" s="67" t="n">
        <v>41701.0</v>
      </c>
      <c r="BH201" s="68" t="n">
        <v>0.2</v>
      </c>
      <c r="BI201" s="69" t="inlineStr">
        <is>
          <t>Actual</t>
        </is>
      </c>
      <c r="BJ201" s="70" t="inlineStr">
        <is>
          <t/>
        </is>
      </c>
      <c r="BK201" s="71" t="inlineStr">
        <is>
          <t/>
        </is>
      </c>
      <c r="BL201" s="72" t="inlineStr">
        <is>
          <t>Grant</t>
        </is>
      </c>
      <c r="BM201" s="73" t="inlineStr">
        <is>
          <t/>
        </is>
      </c>
      <c r="BN201" s="74" t="inlineStr">
        <is>
          <t/>
        </is>
      </c>
      <c r="BO201" s="75" t="inlineStr">
        <is>
          <t>Other</t>
        </is>
      </c>
      <c r="BP201" s="76" t="inlineStr">
        <is>
          <t/>
        </is>
      </c>
      <c r="BQ201" s="77" t="inlineStr">
        <is>
          <t/>
        </is>
      </c>
      <c r="BR201" s="78" t="inlineStr">
        <is>
          <t/>
        </is>
      </c>
      <c r="BS201" s="79" t="inlineStr">
        <is>
          <t>Completed</t>
        </is>
      </c>
      <c r="BT201" s="80" t="n">
        <v>43013.0</v>
      </c>
      <c r="BU201" s="81" t="n">
        <v>5.44</v>
      </c>
      <c r="BV201" s="82" t="inlineStr">
        <is>
          <t>Actual</t>
        </is>
      </c>
      <c r="BW201" s="83" t="inlineStr">
        <is>
          <t/>
        </is>
      </c>
      <c r="BX201" s="84" t="inlineStr">
        <is>
          <t/>
        </is>
      </c>
      <c r="BY201" s="85" t="inlineStr">
        <is>
          <t>Early Stage VC</t>
        </is>
      </c>
      <c r="BZ201" s="86" t="inlineStr">
        <is>
          <t>Series A</t>
        </is>
      </c>
      <c r="CA201" s="87" t="inlineStr">
        <is>
          <t/>
        </is>
      </c>
      <c r="CB201" s="88" t="inlineStr">
        <is>
          <t>Venture Capital</t>
        </is>
      </c>
      <c r="CC201" s="89" t="inlineStr">
        <is>
          <t/>
        </is>
      </c>
      <c r="CD201" s="90" t="inlineStr">
        <is>
          <t/>
        </is>
      </c>
      <c r="CE201" s="91" t="inlineStr">
        <is>
          <t/>
        </is>
      </c>
      <c r="CF201" s="92" t="inlineStr">
        <is>
          <t>Completed</t>
        </is>
      </c>
      <c r="CG201" s="93" t="inlineStr">
        <is>
          <t>0,74%</t>
        </is>
      </c>
      <c r="CH201" s="94" t="inlineStr">
        <is>
          <t>94</t>
        </is>
      </c>
      <c r="CI201" s="95" t="inlineStr">
        <is>
          <t>-0,01%</t>
        </is>
      </c>
      <c r="CJ201" s="96" t="inlineStr">
        <is>
          <t>-1,89%</t>
        </is>
      </c>
      <c r="CK201" s="97" t="inlineStr">
        <is>
          <t>0,15%</t>
        </is>
      </c>
      <c r="CL201" s="98" t="inlineStr">
        <is>
          <t>91</t>
        </is>
      </c>
      <c r="CM201" s="99" t="inlineStr">
        <is>
          <t>2,06%</t>
        </is>
      </c>
      <c r="CN201" s="100" t="inlineStr">
        <is>
          <t>99</t>
        </is>
      </c>
      <c r="CO201" s="101" t="inlineStr">
        <is>
          <t>0,30%</t>
        </is>
      </c>
      <c r="CP201" s="102" t="inlineStr">
        <is>
          <t>91</t>
        </is>
      </c>
      <c r="CQ201" s="103" t="inlineStr">
        <is>
          <t>0,00%</t>
        </is>
      </c>
      <c r="CR201" s="104" t="inlineStr">
        <is>
          <t>20</t>
        </is>
      </c>
      <c r="CS201" s="105" t="inlineStr">
        <is>
          <t/>
        </is>
      </c>
      <c r="CT201" s="106" t="inlineStr">
        <is>
          <t/>
        </is>
      </c>
      <c r="CU201" s="107" t="inlineStr">
        <is>
          <t>2,06%</t>
        </is>
      </c>
      <c r="CV201" s="108" t="inlineStr">
        <is>
          <t>99</t>
        </is>
      </c>
      <c r="CW201" s="109" t="inlineStr">
        <is>
          <t>0,84x</t>
        </is>
      </c>
      <c r="CX201" s="110" t="inlineStr">
        <is>
          <t>45</t>
        </is>
      </c>
      <c r="CY201" s="111" t="inlineStr">
        <is>
          <t>0,00x</t>
        </is>
      </c>
      <c r="CZ201" s="112" t="inlineStr">
        <is>
          <t>-0,05%</t>
        </is>
      </c>
      <c r="DA201" s="113" t="inlineStr">
        <is>
          <t>1,09x</t>
        </is>
      </c>
      <c r="DB201" s="114" t="inlineStr">
        <is>
          <t>53</t>
        </is>
      </c>
      <c r="DC201" s="115" t="inlineStr">
        <is>
          <t>1,36x</t>
        </is>
      </c>
      <c r="DD201" s="116" t="inlineStr">
        <is>
          <t>54</t>
        </is>
      </c>
      <c r="DE201" s="117" t="inlineStr">
        <is>
          <t>1,35x</t>
        </is>
      </c>
      <c r="DF201" s="118" t="inlineStr">
        <is>
          <t>57</t>
        </is>
      </c>
      <c r="DG201" s="119" t="inlineStr">
        <is>
          <t>0,83x</t>
        </is>
      </c>
      <c r="DH201" s="120" t="inlineStr">
        <is>
          <t>46</t>
        </is>
      </c>
      <c r="DI201" s="121" t="inlineStr">
        <is>
          <t/>
        </is>
      </c>
      <c r="DJ201" s="122" t="inlineStr">
        <is>
          <t/>
        </is>
      </c>
      <c r="DK201" s="123" t="inlineStr">
        <is>
          <t>1,36x</t>
        </is>
      </c>
      <c r="DL201" s="124" t="inlineStr">
        <is>
          <t>56</t>
        </is>
      </c>
      <c r="DM201" s="125" t="inlineStr">
        <is>
          <t>551</t>
        </is>
      </c>
      <c r="DN201" s="126" t="inlineStr">
        <is>
          <t>-153</t>
        </is>
      </c>
      <c r="DO201" s="127" t="inlineStr">
        <is>
          <t>-21,73%</t>
        </is>
      </c>
      <c r="DP201" s="128" t="inlineStr">
        <is>
          <t/>
        </is>
      </c>
      <c r="DQ201" s="129" t="inlineStr">
        <is>
          <t/>
        </is>
      </c>
      <c r="DR201" s="130" t="inlineStr">
        <is>
          <t/>
        </is>
      </c>
      <c r="DS201" s="131" t="inlineStr">
        <is>
          <t>30</t>
        </is>
      </c>
      <c r="DT201" s="132" t="inlineStr">
        <is>
          <t>0</t>
        </is>
      </c>
      <c r="DU201" s="133" t="inlineStr">
        <is>
          <t>0,00%</t>
        </is>
      </c>
      <c r="DV201" s="134" t="inlineStr">
        <is>
          <t>508</t>
        </is>
      </c>
      <c r="DW201" s="135" t="inlineStr">
        <is>
          <t>3</t>
        </is>
      </c>
      <c r="DX201" s="136" t="inlineStr">
        <is>
          <t>0,59%</t>
        </is>
      </c>
      <c r="DY201" s="137" t="inlineStr">
        <is>
          <t>PitchBook Research</t>
        </is>
      </c>
      <c r="DZ201" s="785">
        <f>HYPERLINK("https://my.pitchbook.com?c=64934-92", "View company online")</f>
      </c>
    </row>
    <row r="202">
      <c r="A202" s="139" t="inlineStr">
        <is>
          <t>156126-88</t>
        </is>
      </c>
      <c r="B202" s="140" t="inlineStr">
        <is>
          <t>Stratumn</t>
        </is>
      </c>
      <c r="C202" s="141" t="inlineStr">
        <is>
          <t/>
        </is>
      </c>
      <c r="D202" s="142" t="inlineStr">
        <is>
          <t/>
        </is>
      </c>
      <c r="E202" s="143" t="inlineStr">
        <is>
          <t>156126-88</t>
        </is>
      </c>
      <c r="F202" s="144" t="inlineStr">
        <is>
          <t>Developer of a block-chain transaction technology designed to develop networks, free organizations and individuals to trust the millions of processes that connect our world. The company's block-chain transaction technology that automates the auditing process, eliminate errors and fraud and processes that are cryptographically written, executed and verified, providing secure processes between enterprise partners, customers and regulators while insuring data privacy and reducing operational frictions and costs.</t>
        </is>
      </c>
      <c r="G202" s="145" t="inlineStr">
        <is>
          <t>Information Technology</t>
        </is>
      </c>
      <c r="H202" s="146" t="inlineStr">
        <is>
          <t>Software</t>
        </is>
      </c>
      <c r="I202" s="147" t="inlineStr">
        <is>
          <t>Network Management Software</t>
        </is>
      </c>
      <c r="J202" s="148" t="inlineStr">
        <is>
          <t>Network Management Software*; Other Business Products and Services; Application Software</t>
        </is>
      </c>
      <c r="K202" s="149" t="inlineStr">
        <is>
          <t>Cryptocurrency/Blockchain, FinTech</t>
        </is>
      </c>
      <c r="L202" s="150" t="inlineStr">
        <is>
          <t>Venture Capital-Backed</t>
        </is>
      </c>
      <c r="M202" s="151" t="n">
        <v>8.6</v>
      </c>
      <c r="N202" s="152" t="inlineStr">
        <is>
          <t>Generating Revenue</t>
        </is>
      </c>
      <c r="O202" s="153" t="inlineStr">
        <is>
          <t>Privately Held (backing)</t>
        </is>
      </c>
      <c r="P202" s="154" t="inlineStr">
        <is>
          <t>Venture Capital</t>
        </is>
      </c>
      <c r="Q202" s="155" t="inlineStr">
        <is>
          <t>www.stratumn.com</t>
        </is>
      </c>
      <c r="R202" s="156" t="n">
        <v>15.0</v>
      </c>
      <c r="S202" s="157" t="inlineStr">
        <is>
          <t/>
        </is>
      </c>
      <c r="T202" s="158" t="inlineStr">
        <is>
          <t/>
        </is>
      </c>
      <c r="U202" s="159" t="n">
        <v>2015.0</v>
      </c>
      <c r="V202" s="160" t="inlineStr">
        <is>
          <t/>
        </is>
      </c>
      <c r="W202" s="161" t="inlineStr">
        <is>
          <t/>
        </is>
      </c>
      <c r="X202" s="162" t="inlineStr">
        <is>
          <t/>
        </is>
      </c>
      <c r="Y202" s="163" t="n">
        <v>0.18023</v>
      </c>
      <c r="Z202" s="164" t="inlineStr">
        <is>
          <t/>
        </is>
      </c>
      <c r="AA202" s="165" t="n">
        <v>-0.43635</v>
      </c>
      <c r="AB202" s="166" t="inlineStr">
        <is>
          <t/>
        </is>
      </c>
      <c r="AC202" s="167" t="n">
        <v>-0.50275</v>
      </c>
      <c r="AD202" s="168" t="inlineStr">
        <is>
          <t>FY 2016</t>
        </is>
      </c>
      <c r="AE202" s="169" t="inlineStr">
        <is>
          <t>131608-27P</t>
        </is>
      </c>
      <c r="AF202" s="170" t="inlineStr">
        <is>
          <t>Richard Caetano</t>
        </is>
      </c>
      <c r="AG202" s="171" t="inlineStr">
        <is>
          <t>Co-Founder, Chief Executive Officer &amp; Vice President, Engineering</t>
        </is>
      </c>
      <c r="AH202" s="172" t="inlineStr">
        <is>
          <t>richard@stratumn.com</t>
        </is>
      </c>
      <c r="AI202" s="173" t="inlineStr">
        <is>
          <t/>
        </is>
      </c>
      <c r="AJ202" s="174" t="inlineStr">
        <is>
          <t>Paris, France</t>
        </is>
      </c>
      <c r="AK202" s="175" t="inlineStr">
        <is>
          <t>1 Bis Cité Paradis</t>
        </is>
      </c>
      <c r="AL202" s="176" t="inlineStr">
        <is>
          <t/>
        </is>
      </c>
      <c r="AM202" s="177" t="inlineStr">
        <is>
          <t>Paris</t>
        </is>
      </c>
      <c r="AN202" s="178" t="inlineStr">
        <is>
          <t/>
        </is>
      </c>
      <c r="AO202" s="179" t="inlineStr">
        <is>
          <t>75010</t>
        </is>
      </c>
      <c r="AP202" s="180" t="inlineStr">
        <is>
          <t>France</t>
        </is>
      </c>
      <c r="AQ202" s="181" t="inlineStr">
        <is>
          <t/>
        </is>
      </c>
      <c r="AR202" s="182" t="inlineStr">
        <is>
          <t/>
        </is>
      </c>
      <c r="AS202" s="183" t="inlineStr">
        <is>
          <t>hello@stratumn.com</t>
        </is>
      </c>
      <c r="AT202" s="184" t="inlineStr">
        <is>
          <t>Europe</t>
        </is>
      </c>
      <c r="AU202" s="185" t="inlineStr">
        <is>
          <t>Western Europe</t>
        </is>
      </c>
      <c r="AV202" s="186" t="inlineStr">
        <is>
          <t>The company raised EUR 8 million of Series A venture funding in a deal led by Open CNP, the corporate venture arm of CNP Assurances on June 8, 2017. Nasdaq, Digital Currency Group, BNP Paribas Cardif and Otium Venture also participated in the round. The company intends to use the funds to accelerate their development, notably by focusing on research, product design, business development, as well as by continuing to attract talented individuals and expansion into the U.S.</t>
        </is>
      </c>
      <c r="AW202" s="187" t="inlineStr">
        <is>
          <t>BNP Paribas Cardif, CNP Assurances, Digital Currency Group, Eric Larchevêque, NASDAQ, Otium</t>
        </is>
      </c>
      <c r="AX202" s="188" t="n">
        <v>6.0</v>
      </c>
      <c r="AY202" s="189" t="inlineStr">
        <is>
          <t/>
        </is>
      </c>
      <c r="AZ202" s="190" t="inlineStr">
        <is>
          <t/>
        </is>
      </c>
      <c r="BA202" s="191" t="inlineStr">
        <is>
          <t/>
        </is>
      </c>
      <c r="BB202" s="192" t="inlineStr">
        <is>
          <t>BNP Paribas Cardif (www.bnpparibascardif.com), CNP Assurances (www.cnp.fr), Digital Currency Group (www.dcg.co), NASDAQ (www.nasdaq.com), Otium (www.otium.fr)</t>
        </is>
      </c>
      <c r="BC202" s="193" t="inlineStr">
        <is>
          <t/>
        </is>
      </c>
      <c r="BD202" s="194" t="inlineStr">
        <is>
          <t/>
        </is>
      </c>
      <c r="BE202" s="195" t="inlineStr">
        <is>
          <t/>
        </is>
      </c>
      <c r="BF202" s="196" t="inlineStr">
        <is>
          <t>Jones Day (Legal Advisor)</t>
        </is>
      </c>
      <c r="BG202" s="197" t="n">
        <v>42458.0</v>
      </c>
      <c r="BH202" s="198" t="n">
        <v>0.6</v>
      </c>
      <c r="BI202" s="199" t="inlineStr">
        <is>
          <t>Actual</t>
        </is>
      </c>
      <c r="BJ202" s="200" t="inlineStr">
        <is>
          <t/>
        </is>
      </c>
      <c r="BK202" s="201" t="inlineStr">
        <is>
          <t/>
        </is>
      </c>
      <c r="BL202" s="202" t="inlineStr">
        <is>
          <t>Seed Round</t>
        </is>
      </c>
      <c r="BM202" s="203" t="inlineStr">
        <is>
          <t>Seed</t>
        </is>
      </c>
      <c r="BN202" s="204" t="inlineStr">
        <is>
          <t/>
        </is>
      </c>
      <c r="BO202" s="205" t="inlineStr">
        <is>
          <t>Venture Capital</t>
        </is>
      </c>
      <c r="BP202" s="206" t="inlineStr">
        <is>
          <t/>
        </is>
      </c>
      <c r="BQ202" s="207" t="inlineStr">
        <is>
          <t/>
        </is>
      </c>
      <c r="BR202" s="208" t="inlineStr">
        <is>
          <t/>
        </is>
      </c>
      <c r="BS202" s="209" t="inlineStr">
        <is>
          <t>Completed</t>
        </is>
      </c>
      <c r="BT202" s="210" t="n">
        <v>43041.0</v>
      </c>
      <c r="BU202" s="211" t="n">
        <v>8.0</v>
      </c>
      <c r="BV202" s="212" t="inlineStr">
        <is>
          <t>Actual</t>
        </is>
      </c>
      <c r="BW202" s="213" t="inlineStr">
        <is>
          <t/>
        </is>
      </c>
      <c r="BX202" s="214" t="inlineStr">
        <is>
          <t/>
        </is>
      </c>
      <c r="BY202" s="215" t="inlineStr">
        <is>
          <t>Early Stage VC</t>
        </is>
      </c>
      <c r="BZ202" s="216" t="inlineStr">
        <is>
          <t>Series A</t>
        </is>
      </c>
      <c r="CA202" s="217" t="inlineStr">
        <is>
          <t/>
        </is>
      </c>
      <c r="CB202" s="218" t="inlineStr">
        <is>
          <t>Venture Capital</t>
        </is>
      </c>
      <c r="CC202" s="219" t="inlineStr">
        <is>
          <t/>
        </is>
      </c>
      <c r="CD202" s="220" t="inlineStr">
        <is>
          <t/>
        </is>
      </c>
      <c r="CE202" s="221" t="inlineStr">
        <is>
          <t/>
        </is>
      </c>
      <c r="CF202" s="222" t="inlineStr">
        <is>
          <t>Completed</t>
        </is>
      </c>
      <c r="CG202" s="223" t="inlineStr">
        <is>
          <t>0,59%</t>
        </is>
      </c>
      <c r="CH202" s="224" t="inlineStr">
        <is>
          <t>93</t>
        </is>
      </c>
      <c r="CI202" s="225" t="inlineStr">
        <is>
          <t>0,03%</t>
        </is>
      </c>
      <c r="CJ202" s="226" t="inlineStr">
        <is>
          <t>4,61%</t>
        </is>
      </c>
      <c r="CK202" s="227" t="inlineStr">
        <is>
          <t>-0,15%</t>
        </is>
      </c>
      <c r="CL202" s="228" t="inlineStr">
        <is>
          <t>27</t>
        </is>
      </c>
      <c r="CM202" s="229" t="inlineStr">
        <is>
          <t>1,04%</t>
        </is>
      </c>
      <c r="CN202" s="230" t="inlineStr">
        <is>
          <t>96</t>
        </is>
      </c>
      <c r="CO202" s="231" t="inlineStr">
        <is>
          <t>-0,31%</t>
        </is>
      </c>
      <c r="CP202" s="232" t="inlineStr">
        <is>
          <t>36</t>
        </is>
      </c>
      <c r="CQ202" s="233" t="inlineStr">
        <is>
          <t>0,00%</t>
        </is>
      </c>
      <c r="CR202" s="234" t="inlineStr">
        <is>
          <t>20</t>
        </is>
      </c>
      <c r="CS202" s="235" t="inlineStr">
        <is>
          <t>1,00%</t>
        </is>
      </c>
      <c r="CT202" s="236" t="inlineStr">
        <is>
          <t>94</t>
        </is>
      </c>
      <c r="CU202" s="237" t="inlineStr">
        <is>
          <t>1,09%</t>
        </is>
      </c>
      <c r="CV202" s="238" t="inlineStr">
        <is>
          <t>97</t>
        </is>
      </c>
      <c r="CW202" s="239" t="inlineStr">
        <is>
          <t>1,03x</t>
        </is>
      </c>
      <c r="CX202" s="240" t="inlineStr">
        <is>
          <t>50</t>
        </is>
      </c>
      <c r="CY202" s="241" t="inlineStr">
        <is>
          <t>0,00x</t>
        </is>
      </c>
      <c r="CZ202" s="242" t="inlineStr">
        <is>
          <t>-0,29%</t>
        </is>
      </c>
      <c r="DA202" s="243" t="inlineStr">
        <is>
          <t>0,98x</t>
        </is>
      </c>
      <c r="DB202" s="244" t="inlineStr">
        <is>
          <t>51</t>
        </is>
      </c>
      <c r="DC202" s="245" t="inlineStr">
        <is>
          <t>2,06x</t>
        </is>
      </c>
      <c r="DD202" s="246" t="inlineStr">
        <is>
          <t>62</t>
        </is>
      </c>
      <c r="DE202" s="247" t="inlineStr">
        <is>
          <t>0,29x</t>
        </is>
      </c>
      <c r="DF202" s="248" t="inlineStr">
        <is>
          <t>21</t>
        </is>
      </c>
      <c r="DG202" s="249" t="inlineStr">
        <is>
          <t>1,67x</t>
        </is>
      </c>
      <c r="DH202" s="250" t="inlineStr">
        <is>
          <t>61</t>
        </is>
      </c>
      <c r="DI202" s="251" t="inlineStr">
        <is>
          <t>0,25x</t>
        </is>
      </c>
      <c r="DJ202" s="252" t="inlineStr">
        <is>
          <t>27</t>
        </is>
      </c>
      <c r="DK202" s="253" t="inlineStr">
        <is>
          <t>3,86x</t>
        </is>
      </c>
      <c r="DL202" s="254" t="inlineStr">
        <is>
          <t>75</t>
        </is>
      </c>
      <c r="DM202" s="255" t="inlineStr">
        <is>
          <t>112</t>
        </is>
      </c>
      <c r="DN202" s="256" t="inlineStr">
        <is>
          <t>-19</t>
        </is>
      </c>
      <c r="DO202" s="257" t="inlineStr">
        <is>
          <t>-14,50%</t>
        </is>
      </c>
      <c r="DP202" s="258" t="inlineStr">
        <is>
          <t>198</t>
        </is>
      </c>
      <c r="DQ202" s="259" t="inlineStr">
        <is>
          <t>4</t>
        </is>
      </c>
      <c r="DR202" s="260" t="inlineStr">
        <is>
          <t>2,06%</t>
        </is>
      </c>
      <c r="DS202" s="261" t="inlineStr">
        <is>
          <t>58</t>
        </is>
      </c>
      <c r="DT202" s="262" t="inlineStr">
        <is>
          <t>3</t>
        </is>
      </c>
      <c r="DU202" s="263" t="inlineStr">
        <is>
          <t>5,45%</t>
        </is>
      </c>
      <c r="DV202" s="264" t="inlineStr">
        <is>
          <t>1.439</t>
        </is>
      </c>
      <c r="DW202" s="265" t="inlineStr">
        <is>
          <t>16</t>
        </is>
      </c>
      <c r="DX202" s="266" t="inlineStr">
        <is>
          <t>1,12%</t>
        </is>
      </c>
      <c r="DY202" s="267" t="inlineStr">
        <is>
          <t>PitchBook Research</t>
        </is>
      </c>
      <c r="DZ202" s="786">
        <f>HYPERLINK("https://my.pitchbook.com?c=156126-88", "View company online")</f>
      </c>
    </row>
    <row r="203">
      <c r="A203" s="9" t="inlineStr">
        <is>
          <t>162115-75</t>
        </is>
      </c>
      <c r="B203" s="10" t="inlineStr">
        <is>
          <t>Fineway</t>
        </is>
      </c>
      <c r="C203" s="11" t="inlineStr">
        <is>
          <t/>
        </is>
      </c>
      <c r="D203" s="12" t="inlineStr">
        <is>
          <t/>
        </is>
      </c>
      <c r="E203" s="13" t="inlineStr">
        <is>
          <t>162115-75</t>
        </is>
      </c>
      <c r="F203" s="14" t="inlineStr">
        <is>
          <t>Provider of smart travel concierge technology designed to provide tailored travel experiences. The company's artificial intelligence driven travel planning and booking platform leverages statistics &amp; deep learning methods to create interface agnostic conversational service to deliver trips that match a user's unique style and intents.</t>
        </is>
      </c>
      <c r="G203" s="15" t="inlineStr">
        <is>
          <t>Information Technology</t>
        </is>
      </c>
      <c r="H203" s="16" t="inlineStr">
        <is>
          <t>Software</t>
        </is>
      </c>
      <c r="I203" s="17" t="inlineStr">
        <is>
          <t>Application Software</t>
        </is>
      </c>
      <c r="J203" s="18" t="inlineStr">
        <is>
          <t>Application Software*; Social/Platform Software</t>
        </is>
      </c>
      <c r="K203" s="19" t="inlineStr">
        <is>
          <t>Artificial Intelligence &amp; Machine Learning</t>
        </is>
      </c>
      <c r="L203" s="20" t="inlineStr">
        <is>
          <t>Venture Capital-Backed</t>
        </is>
      </c>
      <c r="M203" s="21" t="n">
        <v>9.0</v>
      </c>
      <c r="N203" s="22" t="inlineStr">
        <is>
          <t>Generating Revenue</t>
        </is>
      </c>
      <c r="O203" s="23" t="inlineStr">
        <is>
          <t>Privately Held (backing)</t>
        </is>
      </c>
      <c r="P203" s="24" t="inlineStr">
        <is>
          <t>Venture Capital</t>
        </is>
      </c>
      <c r="Q203" s="25" t="inlineStr">
        <is>
          <t>www.fineway.ai</t>
        </is>
      </c>
      <c r="R203" s="26" t="n">
        <v>11.0</v>
      </c>
      <c r="S203" s="27" t="inlineStr">
        <is>
          <t/>
        </is>
      </c>
      <c r="T203" s="28" t="inlineStr">
        <is>
          <t/>
        </is>
      </c>
      <c r="U203" s="29" t="n">
        <v>2014.0</v>
      </c>
      <c r="V203" s="30" t="inlineStr">
        <is>
          <t/>
        </is>
      </c>
      <c r="W203" s="31" t="inlineStr">
        <is>
          <r>
            <rPr>
              <b/>
              <color rgb="ff26854d"/>
              <rFont val="Arial"/>
              <sz val="8.0"/>
            </rPr>
            <t>Deal</t>
          </r>
          <r>
            <rPr>
              <color rgb="ff707070"/>
              <rFont val="Arial"/>
              <sz val="7.0"/>
            </rPr>
            <t xml:space="preserve"> NEW  </t>
          </r>
          <r>
            <rPr>
              <color rgb="ff000000"/>
              <rFont val="Arial"/>
              <sz val="8.0"/>
            </rPr>
            <t>Early Stage VC (Series A),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Markus Bohl, Co-Founder &amp; Chief Executive Officer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Markus Feigelbinder, Co-Founder, Managing Director &amp; Chief Operating Officer</t>
          </r>
        </is>
      </c>
      <c r="X203" s="32" t="inlineStr">
        <is>
          <r>
            <rPr>
              <b/>
              <color rgb="ff26854d"/>
              <rFont val="Arial"/>
              <sz val="8.0"/>
            </rPr>
            <t>Deal</t>
          </r>
          <r>
            <rPr>
              <color rgb="ff707070"/>
              <rFont val="Arial"/>
              <sz val="7.0"/>
            </rPr>
            <t xml:space="preserve"> NEW  </t>
          </r>
          <r>
            <rPr>
              <color rgb="ff000000"/>
              <rFont val="Arial"/>
              <sz val="8.0"/>
            </rPr>
            <t>Early Stage VC (Series A),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Markus Bohl, Co-Founder &amp; Chief Executive Officer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Markus Feigelbinder, Co-Founder, Managing Director &amp; Chief Operating Officer</t>
          </r>
        </is>
      </c>
      <c r="Y203" s="33" t="inlineStr">
        <is>
          <t/>
        </is>
      </c>
      <c r="Z203" s="34" t="inlineStr">
        <is>
          <t/>
        </is>
      </c>
      <c r="AA203" s="35" t="inlineStr">
        <is>
          <t/>
        </is>
      </c>
      <c r="AB203" s="36" t="inlineStr">
        <is>
          <t/>
        </is>
      </c>
      <c r="AC203" s="37" t="inlineStr">
        <is>
          <t/>
        </is>
      </c>
      <c r="AD203" s="38" t="inlineStr">
        <is>
          <t/>
        </is>
      </c>
      <c r="AE203" s="39" t="inlineStr">
        <is>
          <t>139391-29P</t>
        </is>
      </c>
      <c r="AF203" s="40" t="inlineStr">
        <is>
          <t>Markus Bohl</t>
        </is>
      </c>
      <c r="AG203" s="41" t="inlineStr">
        <is>
          <t>Co-Founder &amp; Chief Executive Officer</t>
        </is>
      </c>
      <c r="AH203" s="42" t="inlineStr">
        <is>
          <t>mar@fineway.de</t>
        </is>
      </c>
      <c r="AI203" s="43" t="inlineStr">
        <is>
          <t>+49 (0)89 1241 4604 6</t>
        </is>
      </c>
      <c r="AJ203" s="44" t="inlineStr">
        <is>
          <t>Munich, Germany</t>
        </is>
      </c>
      <c r="AK203" s="45" t="inlineStr">
        <is>
          <t>Lindwurmstr. 76</t>
        </is>
      </c>
      <c r="AL203" s="46" t="inlineStr">
        <is>
          <t/>
        </is>
      </c>
      <c r="AM203" s="47" t="inlineStr">
        <is>
          <t>Munich</t>
        </is>
      </c>
      <c r="AN203" s="48" t="inlineStr">
        <is>
          <t/>
        </is>
      </c>
      <c r="AO203" s="49" t="inlineStr">
        <is>
          <t>80337</t>
        </is>
      </c>
      <c r="AP203" s="50" t="inlineStr">
        <is>
          <t>Germany</t>
        </is>
      </c>
      <c r="AQ203" s="51" t="inlineStr">
        <is>
          <t>+49 (0)89 1241 4604 6</t>
        </is>
      </c>
      <c r="AR203" s="52" t="inlineStr">
        <is>
          <t/>
        </is>
      </c>
      <c r="AS203" s="53" t="inlineStr">
        <is>
          <t>service@fineway.de</t>
        </is>
      </c>
      <c r="AT203" s="54" t="inlineStr">
        <is>
          <t>Europe</t>
        </is>
      </c>
      <c r="AU203" s="55" t="inlineStr">
        <is>
          <t>Western Europe</t>
        </is>
      </c>
      <c r="AV203" s="56" t="inlineStr">
        <is>
          <t>The company raised EUR 7 million of Series A venture funding in a deal led by Bayern Kapital on November 8, 2017. Mairdumont Ventures, Axel Springer Digital Ventures and undisclosed family offices also participated in the round. The funds will be used to hire additional experts to further develop the software.</t>
        </is>
      </c>
      <c r="AW203" s="57" t="inlineStr">
        <is>
          <t>Actori (Sports Division), Axel Springer Digital Ventures, Bayern Kapital, Mairdumont Ventures</t>
        </is>
      </c>
      <c r="AX203" s="58" t="n">
        <v>4.0</v>
      </c>
      <c r="AY203" s="59" t="inlineStr">
        <is>
          <t/>
        </is>
      </c>
      <c r="AZ203" s="60" t="inlineStr">
        <is>
          <t/>
        </is>
      </c>
      <c r="BA203" s="61" t="inlineStr">
        <is>
          <t/>
        </is>
      </c>
      <c r="BB203" s="62" t="inlineStr">
        <is>
          <t>Bayern Kapital (www.bayernkapital.de), Mairdumont Ventures (www.md-ventures.de)</t>
        </is>
      </c>
      <c r="BC203" s="63" t="inlineStr">
        <is>
          <t/>
        </is>
      </c>
      <c r="BD203" s="64" t="inlineStr">
        <is>
          <t/>
        </is>
      </c>
      <c r="BE203" s="65" t="inlineStr">
        <is>
          <t/>
        </is>
      </c>
      <c r="BF203" s="66" t="inlineStr">
        <is>
          <t/>
        </is>
      </c>
      <c r="BG203" s="67" t="n">
        <v>42335.0</v>
      </c>
      <c r="BH203" s="68" t="n">
        <v>2.0</v>
      </c>
      <c r="BI203" s="69" t="inlineStr">
        <is>
          <t>Actual</t>
        </is>
      </c>
      <c r="BJ203" s="70" t="inlineStr">
        <is>
          <t/>
        </is>
      </c>
      <c r="BK203" s="71" t="inlineStr">
        <is>
          <t/>
        </is>
      </c>
      <c r="BL203" s="72" t="inlineStr">
        <is>
          <t>Seed Round</t>
        </is>
      </c>
      <c r="BM203" s="73" t="inlineStr">
        <is>
          <t>Seed</t>
        </is>
      </c>
      <c r="BN203" s="74" t="inlineStr">
        <is>
          <t/>
        </is>
      </c>
      <c r="BO203" s="75" t="inlineStr">
        <is>
          <t>Venture Capital</t>
        </is>
      </c>
      <c r="BP203" s="76" t="inlineStr">
        <is>
          <t/>
        </is>
      </c>
      <c r="BQ203" s="77" t="inlineStr">
        <is>
          <t/>
        </is>
      </c>
      <c r="BR203" s="78" t="inlineStr">
        <is>
          <t/>
        </is>
      </c>
      <c r="BS203" s="79" t="inlineStr">
        <is>
          <t>Completed</t>
        </is>
      </c>
      <c r="BT203" s="80" t="n">
        <v>43047.0</v>
      </c>
      <c r="BU203" s="81" t="n">
        <v>7.0</v>
      </c>
      <c r="BV203" s="82" t="inlineStr">
        <is>
          <t>Actual</t>
        </is>
      </c>
      <c r="BW203" s="83" t="inlineStr">
        <is>
          <t/>
        </is>
      </c>
      <c r="BX203" s="84" t="inlineStr">
        <is>
          <t/>
        </is>
      </c>
      <c r="BY203" s="85" t="inlineStr">
        <is>
          <t>Early Stage VC</t>
        </is>
      </c>
      <c r="BZ203" s="86" t="inlineStr">
        <is>
          <t>Series A</t>
        </is>
      </c>
      <c r="CA203" s="87" t="inlineStr">
        <is>
          <t/>
        </is>
      </c>
      <c r="CB203" s="88" t="inlineStr">
        <is>
          <t>Venture Capital</t>
        </is>
      </c>
      <c r="CC203" s="89" t="inlineStr">
        <is>
          <t/>
        </is>
      </c>
      <c r="CD203" s="90" t="inlineStr">
        <is>
          <t/>
        </is>
      </c>
      <c r="CE203" s="91" t="inlineStr">
        <is>
          <t/>
        </is>
      </c>
      <c r="CF203" s="92" t="inlineStr">
        <is>
          <t>Completed</t>
        </is>
      </c>
      <c r="CG203" s="93" t="inlineStr">
        <is>
          <t>1,23%</t>
        </is>
      </c>
      <c r="CH203" s="94" t="inlineStr">
        <is>
          <t>96</t>
        </is>
      </c>
      <c r="CI203" s="95" t="inlineStr">
        <is>
          <t>0,03%</t>
        </is>
      </c>
      <c r="CJ203" s="96" t="inlineStr">
        <is>
          <t>2,29%</t>
        </is>
      </c>
      <c r="CK203" s="97" t="inlineStr">
        <is>
          <t>1,64%</t>
        </is>
      </c>
      <c r="CL203" s="98" t="inlineStr">
        <is>
          <t>96</t>
        </is>
      </c>
      <c r="CM203" s="99" t="inlineStr">
        <is>
          <t>0,82%</t>
        </is>
      </c>
      <c r="CN203" s="100" t="inlineStr">
        <is>
          <t>94</t>
        </is>
      </c>
      <c r="CO203" s="101" t="inlineStr">
        <is>
          <t>3,28%</t>
        </is>
      </c>
      <c r="CP203" s="102" t="inlineStr">
        <is>
          <t>97</t>
        </is>
      </c>
      <c r="CQ203" s="103" t="inlineStr">
        <is>
          <t>0,00%</t>
        </is>
      </c>
      <c r="CR203" s="104" t="inlineStr">
        <is>
          <t>20</t>
        </is>
      </c>
      <c r="CS203" s="105" t="inlineStr">
        <is>
          <t>1,64%</t>
        </is>
      </c>
      <c r="CT203" s="106" t="inlineStr">
        <is>
          <t>97</t>
        </is>
      </c>
      <c r="CU203" s="107" t="inlineStr">
        <is>
          <t>0,00%</t>
        </is>
      </c>
      <c r="CV203" s="108" t="inlineStr">
        <is>
          <t>21</t>
        </is>
      </c>
      <c r="CW203" s="109" t="inlineStr">
        <is>
          <t>9,94x</t>
        </is>
      </c>
      <c r="CX203" s="110" t="inlineStr">
        <is>
          <t>88</t>
        </is>
      </c>
      <c r="CY203" s="111" t="inlineStr">
        <is>
          <t>-0,03x</t>
        </is>
      </c>
      <c r="CZ203" s="112" t="inlineStr">
        <is>
          <t>-0,30%</t>
        </is>
      </c>
      <c r="DA203" s="113" t="inlineStr">
        <is>
          <t>5,25x</t>
        </is>
      </c>
      <c r="DB203" s="114" t="inlineStr">
        <is>
          <t>82</t>
        </is>
      </c>
      <c r="DC203" s="115" t="inlineStr">
        <is>
          <t>14,63x</t>
        </is>
      </c>
      <c r="DD203" s="116" t="inlineStr">
        <is>
          <t>87</t>
        </is>
      </c>
      <c r="DE203" s="117" t="inlineStr">
        <is>
          <t>8,22x</t>
        </is>
      </c>
      <c r="DF203" s="118" t="inlineStr">
        <is>
          <t>86</t>
        </is>
      </c>
      <c r="DG203" s="119" t="inlineStr">
        <is>
          <t>2,28x</t>
        </is>
      </c>
      <c r="DH203" s="120" t="inlineStr">
        <is>
          <t>67</t>
        </is>
      </c>
      <c r="DI203" s="121" t="inlineStr">
        <is>
          <t>29,12x</t>
        </is>
      </c>
      <c r="DJ203" s="122" t="inlineStr">
        <is>
          <t>89</t>
        </is>
      </c>
      <c r="DK203" s="123" t="inlineStr">
        <is>
          <t>0,14x</t>
        </is>
      </c>
      <c r="DL203" s="124" t="inlineStr">
        <is>
          <t>20</t>
        </is>
      </c>
      <c r="DM203" s="125" t="inlineStr">
        <is>
          <t>3.015</t>
        </is>
      </c>
      <c r="DN203" s="126" t="inlineStr">
        <is>
          <t>98</t>
        </is>
      </c>
      <c r="DO203" s="127" t="inlineStr">
        <is>
          <t>3,36%</t>
        </is>
      </c>
      <c r="DP203" s="128" t="inlineStr">
        <is>
          <t>23.015</t>
        </is>
      </c>
      <c r="DQ203" s="129" t="inlineStr">
        <is>
          <t>198</t>
        </is>
      </c>
      <c r="DR203" s="130" t="inlineStr">
        <is>
          <t>0,87%</t>
        </is>
      </c>
      <c r="DS203" s="131" t="inlineStr">
        <is>
          <t>83</t>
        </is>
      </c>
      <c r="DT203" s="132" t="inlineStr">
        <is>
          <t>-1</t>
        </is>
      </c>
      <c r="DU203" s="133" t="inlineStr">
        <is>
          <t>-1,19%</t>
        </is>
      </c>
      <c r="DV203" s="134" t="inlineStr">
        <is>
          <t>51</t>
        </is>
      </c>
      <c r="DW203" s="135" t="inlineStr">
        <is>
          <t>1</t>
        </is>
      </c>
      <c r="DX203" s="136" t="inlineStr">
        <is>
          <t>2,00%</t>
        </is>
      </c>
      <c r="DY203" s="137" t="inlineStr">
        <is>
          <t>PitchBook Research</t>
        </is>
      </c>
      <c r="DZ203" s="785">
        <f>HYPERLINK("https://my.pitchbook.com?c=162115-75", "View company online")</f>
      </c>
    </row>
    <row r="204">
      <c r="A204" s="139" t="inlineStr">
        <is>
          <t>160900-57</t>
        </is>
      </c>
      <c r="B204" s="140" t="inlineStr">
        <is>
          <t>InvoiceFinance</t>
        </is>
      </c>
      <c r="C204" s="141" t="inlineStr">
        <is>
          <t/>
        </is>
      </c>
      <c r="D204" s="142" t="inlineStr">
        <is>
          <t/>
        </is>
      </c>
      <c r="E204" s="143" t="inlineStr">
        <is>
          <t>160900-57</t>
        </is>
      </c>
      <c r="F204" s="144" t="inlineStr">
        <is>
          <t>Provider of an online marketplace designed to get financing on outstanding invoices. The company's online marketplace provides fee based credit on outstanding invoices withing 24 hours directly financed by professional and institutional investors, with no sector exclusion, enabling SMEs to balance their working capital needs without moving to a bank.</t>
        </is>
      </c>
      <c r="G204" s="145" t="inlineStr">
        <is>
          <t>Information Technology</t>
        </is>
      </c>
      <c r="H204" s="146" t="inlineStr">
        <is>
          <t>Software</t>
        </is>
      </c>
      <c r="I204" s="147" t="inlineStr">
        <is>
          <t>Financial Software</t>
        </is>
      </c>
      <c r="J204" s="148" t="inlineStr">
        <is>
          <t>Financial Software*; Specialized Finance</t>
        </is>
      </c>
      <c r="K204" s="149" t="inlineStr">
        <is>
          <t>FinTech</t>
        </is>
      </c>
      <c r="L204" s="150" t="inlineStr">
        <is>
          <t>Venture Capital-Backed</t>
        </is>
      </c>
      <c r="M204" s="151" t="n">
        <v>9.4</v>
      </c>
      <c r="N204" s="152" t="inlineStr">
        <is>
          <t>Generating Revenue</t>
        </is>
      </c>
      <c r="O204" s="153" t="inlineStr">
        <is>
          <t>Privately Held (backing)</t>
        </is>
      </c>
      <c r="P204" s="154" t="inlineStr">
        <is>
          <t>Venture Capital</t>
        </is>
      </c>
      <c r="Q204" s="155" t="inlineStr">
        <is>
          <t>www.invoicefinance.com</t>
        </is>
      </c>
      <c r="R204" s="156" t="n">
        <v>3.0</v>
      </c>
      <c r="S204" s="157" t="inlineStr">
        <is>
          <t/>
        </is>
      </c>
      <c r="T204" s="158" t="inlineStr">
        <is>
          <t/>
        </is>
      </c>
      <c r="U204" s="159" t="n">
        <v>2015.0</v>
      </c>
      <c r="V204" s="160" t="inlineStr">
        <is>
          <t/>
        </is>
      </c>
      <c r="W204" s="161" t="inlineStr">
        <is>
          <t/>
        </is>
      </c>
      <c r="X204" s="162" t="inlineStr">
        <is>
          <t/>
        </is>
      </c>
      <c r="Y204" s="163" t="inlineStr">
        <is>
          <t/>
        </is>
      </c>
      <c r="Z204" s="164" t="inlineStr">
        <is>
          <t/>
        </is>
      </c>
      <c r="AA204" s="165" t="inlineStr">
        <is>
          <t/>
        </is>
      </c>
      <c r="AB204" s="166" t="inlineStr">
        <is>
          <t/>
        </is>
      </c>
      <c r="AC204" s="167" t="inlineStr">
        <is>
          <t/>
        </is>
      </c>
      <c r="AD204" s="168" t="inlineStr">
        <is>
          <t/>
        </is>
      </c>
      <c r="AE204" s="169" t="inlineStr">
        <is>
          <t>137382-31P</t>
        </is>
      </c>
      <c r="AF204" s="170" t="inlineStr">
        <is>
          <t>Sven van der Biezen</t>
        </is>
      </c>
      <c r="AG204" s="171" t="inlineStr">
        <is>
          <t>Co-Founder and Chief Executive Officer</t>
        </is>
      </c>
      <c r="AH204" s="172" t="inlineStr">
        <is>
          <t>sven@invoicefinance.nl</t>
        </is>
      </c>
      <c r="AI204" s="173" t="inlineStr">
        <is>
          <t>+31 (0)73 851 1545</t>
        </is>
      </c>
      <c r="AJ204" s="174" t="inlineStr">
        <is>
          <t>'s-Hertogenbosch, Netherlands</t>
        </is>
      </c>
      <c r="AK204" s="175" t="inlineStr">
        <is>
          <t>Statenlaan 31</t>
        </is>
      </c>
      <c r="AL204" s="176" t="inlineStr">
        <is>
          <t/>
        </is>
      </c>
      <c r="AM204" s="177" t="inlineStr">
        <is>
          <t>'s-Hertogenbosch</t>
        </is>
      </c>
      <c r="AN204" s="178" t="inlineStr">
        <is>
          <t/>
        </is>
      </c>
      <c r="AO204" s="179" t="inlineStr">
        <is>
          <t>5223</t>
        </is>
      </c>
      <c r="AP204" s="180" t="inlineStr">
        <is>
          <t>Netherlands</t>
        </is>
      </c>
      <c r="AQ204" s="181" t="inlineStr">
        <is>
          <t>+31 (0)73 851 1545</t>
        </is>
      </c>
      <c r="AR204" s="182" t="inlineStr">
        <is>
          <t/>
        </is>
      </c>
      <c r="AS204" s="183" t="inlineStr">
        <is>
          <t>contact@invoicefinance.nl</t>
        </is>
      </c>
      <c r="AT204" s="184" t="inlineStr">
        <is>
          <t>Europe</t>
        </is>
      </c>
      <c r="AU204" s="185" t="inlineStr">
        <is>
          <t>Western Europe</t>
        </is>
      </c>
      <c r="AV204" s="186" t="inlineStr">
        <is>
          <t>The company raised EUR 6 million of venture funding from Peak Capital and undisclosed entrepreneurs on October 5, 2017. The company intends to use the funds for marketing purposes and for hiring sales and development team.</t>
        </is>
      </c>
      <c r="AW204" s="187" t="inlineStr">
        <is>
          <t>Kalo Bagijn, Peak Capital</t>
        </is>
      </c>
      <c r="AX204" s="188" t="n">
        <v>2.0</v>
      </c>
      <c r="AY204" s="189" t="inlineStr">
        <is>
          <t/>
        </is>
      </c>
      <c r="AZ204" s="190" t="inlineStr">
        <is>
          <t/>
        </is>
      </c>
      <c r="BA204" s="191" t="inlineStr">
        <is>
          <t/>
        </is>
      </c>
      <c r="BB204" s="192" t="inlineStr">
        <is>
          <t>Peak Capital (www.peak.capital)</t>
        </is>
      </c>
      <c r="BC204" s="193" t="inlineStr">
        <is>
          <t/>
        </is>
      </c>
      <c r="BD204" s="194" t="inlineStr">
        <is>
          <t/>
        </is>
      </c>
      <c r="BE204" s="195" t="inlineStr">
        <is>
          <t/>
        </is>
      </c>
      <c r="BF204" s="196" t="inlineStr">
        <is>
          <t/>
        </is>
      </c>
      <c r="BG204" s="197" t="n">
        <v>42529.0</v>
      </c>
      <c r="BH204" s="198" t="n">
        <v>3.4</v>
      </c>
      <c r="BI204" s="199" t="inlineStr">
        <is>
          <t>Actual</t>
        </is>
      </c>
      <c r="BJ204" s="200" t="inlineStr">
        <is>
          <t/>
        </is>
      </c>
      <c r="BK204" s="201" t="inlineStr">
        <is>
          <t/>
        </is>
      </c>
      <c r="BL204" s="202" t="inlineStr">
        <is>
          <t>Seed Round</t>
        </is>
      </c>
      <c r="BM204" s="203" t="inlineStr">
        <is>
          <t>Seed</t>
        </is>
      </c>
      <c r="BN204" s="204" t="inlineStr">
        <is>
          <t/>
        </is>
      </c>
      <c r="BO204" s="205" t="inlineStr">
        <is>
          <t>Venture Capital</t>
        </is>
      </c>
      <c r="BP204" s="206" t="inlineStr">
        <is>
          <t/>
        </is>
      </c>
      <c r="BQ204" s="207" t="inlineStr">
        <is>
          <t/>
        </is>
      </c>
      <c r="BR204" s="208" t="inlineStr">
        <is>
          <t/>
        </is>
      </c>
      <c r="BS204" s="209" t="inlineStr">
        <is>
          <t>Completed</t>
        </is>
      </c>
      <c r="BT204" s="210" t="n">
        <v>43013.0</v>
      </c>
      <c r="BU204" s="211" t="n">
        <v>6.0</v>
      </c>
      <c r="BV204" s="212" t="inlineStr">
        <is>
          <t>Actual</t>
        </is>
      </c>
      <c r="BW204" s="213" t="inlineStr">
        <is>
          <t/>
        </is>
      </c>
      <c r="BX204" s="214" t="inlineStr">
        <is>
          <t/>
        </is>
      </c>
      <c r="BY204" s="215" t="inlineStr">
        <is>
          <t>Early Stage VC</t>
        </is>
      </c>
      <c r="BZ204" s="216" t="inlineStr">
        <is>
          <t/>
        </is>
      </c>
      <c r="CA204" s="217" t="inlineStr">
        <is>
          <t/>
        </is>
      </c>
      <c r="CB204" s="218" t="inlineStr">
        <is>
          <t>Venture Capital</t>
        </is>
      </c>
      <c r="CC204" s="219" t="inlineStr">
        <is>
          <t/>
        </is>
      </c>
      <c r="CD204" s="220" t="inlineStr">
        <is>
          <t/>
        </is>
      </c>
      <c r="CE204" s="221" t="inlineStr">
        <is>
          <t/>
        </is>
      </c>
      <c r="CF204" s="222" t="inlineStr">
        <is>
          <t>Completed</t>
        </is>
      </c>
      <c r="CG204" s="223" t="inlineStr">
        <is>
          <t>0,45%</t>
        </is>
      </c>
      <c r="CH204" s="224" t="inlineStr">
        <is>
          <t>91</t>
        </is>
      </c>
      <c r="CI204" s="225" t="inlineStr">
        <is>
          <t>-0,05%</t>
        </is>
      </c>
      <c r="CJ204" s="226" t="inlineStr">
        <is>
          <t>-9,70%</t>
        </is>
      </c>
      <c r="CK204" s="227" t="inlineStr">
        <is>
          <t>-2,56%</t>
        </is>
      </c>
      <c r="CL204" s="228" t="inlineStr">
        <is>
          <t>13</t>
        </is>
      </c>
      <c r="CM204" s="229" t="inlineStr">
        <is>
          <t>3,47%</t>
        </is>
      </c>
      <c r="CN204" s="230" t="inlineStr">
        <is>
          <t>100</t>
        </is>
      </c>
      <c r="CO204" s="231" t="inlineStr">
        <is>
          <t>-5,13%</t>
        </is>
      </c>
      <c r="CP204" s="232" t="inlineStr">
        <is>
          <t>21</t>
        </is>
      </c>
      <c r="CQ204" s="233" t="inlineStr">
        <is>
          <t>0,00%</t>
        </is>
      </c>
      <c r="CR204" s="234" t="inlineStr">
        <is>
          <t>20</t>
        </is>
      </c>
      <c r="CS204" s="235" t="inlineStr">
        <is>
          <t>4,95%</t>
        </is>
      </c>
      <c r="CT204" s="236" t="inlineStr">
        <is>
          <t>100</t>
        </is>
      </c>
      <c r="CU204" s="237" t="inlineStr">
        <is>
          <t>2,00%</t>
        </is>
      </c>
      <c r="CV204" s="238" t="inlineStr">
        <is>
          <t>99</t>
        </is>
      </c>
      <c r="CW204" s="239" t="inlineStr">
        <is>
          <t>1,38x</t>
        </is>
      </c>
      <c r="CX204" s="240" t="inlineStr">
        <is>
          <t>57</t>
        </is>
      </c>
      <c r="CY204" s="241" t="inlineStr">
        <is>
          <t>0,00x</t>
        </is>
      </c>
      <c r="CZ204" s="242" t="inlineStr">
        <is>
          <t>-0,16%</t>
        </is>
      </c>
      <c r="DA204" s="243" t="inlineStr">
        <is>
          <t>1,82x</t>
        </is>
      </c>
      <c r="DB204" s="244" t="inlineStr">
        <is>
          <t>65</t>
        </is>
      </c>
      <c r="DC204" s="245" t="inlineStr">
        <is>
          <t>0,95x</t>
        </is>
      </c>
      <c r="DD204" s="246" t="inlineStr">
        <is>
          <t>47</t>
        </is>
      </c>
      <c r="DE204" s="247" t="inlineStr">
        <is>
          <t>2,50x</t>
        </is>
      </c>
      <c r="DF204" s="248" t="inlineStr">
        <is>
          <t>70</t>
        </is>
      </c>
      <c r="DG204" s="249" t="inlineStr">
        <is>
          <t>1,14x</t>
        </is>
      </c>
      <c r="DH204" s="250" t="inlineStr">
        <is>
          <t>53</t>
        </is>
      </c>
      <c r="DI204" s="251" t="inlineStr">
        <is>
          <t>1,52x</t>
        </is>
      </c>
      <c r="DJ204" s="252" t="inlineStr">
        <is>
          <t>57</t>
        </is>
      </c>
      <c r="DK204" s="253" t="inlineStr">
        <is>
          <t>0,37x</t>
        </is>
      </c>
      <c r="DL204" s="254" t="inlineStr">
        <is>
          <t>33</t>
        </is>
      </c>
      <c r="DM204" s="255" t="inlineStr">
        <is>
          <t>970</t>
        </is>
      </c>
      <c r="DN204" s="256" t="inlineStr">
        <is>
          <t>-129</t>
        </is>
      </c>
      <c r="DO204" s="257" t="inlineStr">
        <is>
          <t>-11,74%</t>
        </is>
      </c>
      <c r="DP204" s="258" t="inlineStr">
        <is>
          <t>1.192</t>
        </is>
      </c>
      <c r="DQ204" s="259" t="inlineStr">
        <is>
          <t>30</t>
        </is>
      </c>
      <c r="DR204" s="260" t="inlineStr">
        <is>
          <t>2,58%</t>
        </is>
      </c>
      <c r="DS204" s="261" t="inlineStr">
        <is>
          <t>41</t>
        </is>
      </c>
      <c r="DT204" s="262" t="inlineStr">
        <is>
          <t>-1</t>
        </is>
      </c>
      <c r="DU204" s="263" t="inlineStr">
        <is>
          <t>-2,38%</t>
        </is>
      </c>
      <c r="DV204" s="264" t="inlineStr">
        <is>
          <t>138</t>
        </is>
      </c>
      <c r="DW204" s="265" t="inlineStr">
        <is>
          <t>3</t>
        </is>
      </c>
      <c r="DX204" s="266" t="inlineStr">
        <is>
          <t>2,22%</t>
        </is>
      </c>
      <c r="DY204" s="267" t="inlineStr">
        <is>
          <t>PitchBook Research</t>
        </is>
      </c>
      <c r="DZ204" s="786">
        <f>HYPERLINK("https://my.pitchbook.com?c=160900-57", "View company online")</f>
      </c>
    </row>
    <row r="205">
      <c r="A205" s="9" t="inlineStr">
        <is>
          <t>166206-88</t>
        </is>
      </c>
      <c r="B205" s="10" t="inlineStr">
        <is>
          <t>VIRTUO</t>
        </is>
      </c>
      <c r="C205" s="11" t="inlineStr">
        <is>
          <t/>
        </is>
      </c>
      <c r="D205" s="12" t="inlineStr">
        <is>
          <t/>
        </is>
      </c>
      <c r="E205" s="13" t="inlineStr">
        <is>
          <t>166206-88</t>
        </is>
      </c>
      <c r="F205" s="14" t="inlineStr">
        <is>
          <t>Developer of mobile application designed to provide mobile car leasing services. The company's application allows drivers to locate their car immediately and leads the customer straight to the car park where the cars are available, the car is unlocked with a smartphone, after downloading its digital key, the location is confirmed by the app and the smartphone's camera, enabling user to have a hassle-free car drive.</t>
        </is>
      </c>
      <c r="G205" s="15" t="inlineStr">
        <is>
          <t>Information Technology</t>
        </is>
      </c>
      <c r="H205" s="16" t="inlineStr">
        <is>
          <t>Software</t>
        </is>
      </c>
      <c r="I205" s="17" t="inlineStr">
        <is>
          <t>Application Software</t>
        </is>
      </c>
      <c r="J205" s="18" t="inlineStr">
        <is>
          <t>Application Software*</t>
        </is>
      </c>
      <c r="K205" s="19" t="inlineStr">
        <is>
          <t>Mobile</t>
        </is>
      </c>
      <c r="L205" s="20" t="inlineStr">
        <is>
          <t>Venture Capital-Backed</t>
        </is>
      </c>
      <c r="M205" s="21" t="n">
        <v>9.5</v>
      </c>
      <c r="N205" s="22" t="inlineStr">
        <is>
          <t>Generating Revenue</t>
        </is>
      </c>
      <c r="O205" s="23" t="inlineStr">
        <is>
          <t>Privately Held (backing)</t>
        </is>
      </c>
      <c r="P205" s="24" t="inlineStr">
        <is>
          <t>Venture Capital</t>
        </is>
      </c>
      <c r="Q205" s="25" t="inlineStr">
        <is>
          <t>www.govirtuo.com</t>
        </is>
      </c>
      <c r="R205" s="26" t="inlineStr">
        <is>
          <t/>
        </is>
      </c>
      <c r="S205" s="27" t="inlineStr">
        <is>
          <t/>
        </is>
      </c>
      <c r="T205" s="28" t="inlineStr">
        <is>
          <t/>
        </is>
      </c>
      <c r="U205" s="29" t="n">
        <v>2015.0</v>
      </c>
      <c r="V205" s="30" t="inlineStr">
        <is>
          <t/>
        </is>
      </c>
      <c r="W205" s="31" t="inlineStr">
        <is>
          <t/>
        </is>
      </c>
      <c r="X205" s="32" t="inlineStr">
        <is>
          <t/>
        </is>
      </c>
      <c r="Y205" s="33" t="inlineStr">
        <is>
          <t/>
        </is>
      </c>
      <c r="Z205" s="34" t="inlineStr">
        <is>
          <t/>
        </is>
      </c>
      <c r="AA205" s="35" t="inlineStr">
        <is>
          <t/>
        </is>
      </c>
      <c r="AB205" s="36" t="inlineStr">
        <is>
          <t/>
        </is>
      </c>
      <c r="AC205" s="37" t="inlineStr">
        <is>
          <t/>
        </is>
      </c>
      <c r="AD205" s="38" t="inlineStr">
        <is>
          <t/>
        </is>
      </c>
      <c r="AE205" s="39" t="inlineStr">
        <is>
          <t>103205-17P</t>
        </is>
      </c>
      <c r="AF205" s="40" t="inlineStr">
        <is>
          <t>Karim Kaddoura</t>
        </is>
      </c>
      <c r="AG205" s="41" t="inlineStr">
        <is>
          <t>Co-Founder</t>
        </is>
      </c>
      <c r="AH205" s="42" t="inlineStr">
        <is>
          <t>karim.kaddoura@govirtuo.com</t>
        </is>
      </c>
      <c r="AI205" s="43" t="inlineStr">
        <is>
          <t/>
        </is>
      </c>
      <c r="AJ205" s="44" t="inlineStr">
        <is>
          <t>Paris, France</t>
        </is>
      </c>
      <c r="AK205" s="45" t="inlineStr">
        <is>
          <t>16 boulevard de la Bastille</t>
        </is>
      </c>
      <c r="AL205" s="46" t="inlineStr">
        <is>
          <t/>
        </is>
      </c>
      <c r="AM205" s="47" t="inlineStr">
        <is>
          <t>Paris</t>
        </is>
      </c>
      <c r="AN205" s="48" t="inlineStr">
        <is>
          <t/>
        </is>
      </c>
      <c r="AO205" s="49" t="inlineStr">
        <is>
          <t>75012</t>
        </is>
      </c>
      <c r="AP205" s="50" t="inlineStr">
        <is>
          <t>France</t>
        </is>
      </c>
      <c r="AQ205" s="51" t="inlineStr">
        <is>
          <t/>
        </is>
      </c>
      <c r="AR205" s="52" t="inlineStr">
        <is>
          <t/>
        </is>
      </c>
      <c r="AS205" s="53" t="inlineStr">
        <is>
          <t>contact+website@govirtuo.com</t>
        </is>
      </c>
      <c r="AT205" s="54" t="inlineStr">
        <is>
          <t>Europe</t>
        </is>
      </c>
      <c r="AU205" s="55" t="inlineStr">
        <is>
          <t>Western Europe</t>
        </is>
      </c>
      <c r="AV205" s="56" t="inlineStr">
        <is>
          <t>The company raised EUR 7.5 million of Series A venture funding from Balderton Capital on September 14, 2017. The new funds will be used to finance its growth in the country as well as in other European cities.</t>
        </is>
      </c>
      <c r="AW205" s="57" t="inlineStr">
        <is>
          <t>Balderton Capital, Clément Benoit, David Amsellem, Kima Ventures, Philippe Carle, Thibaud Elziere, Xavier Niel</t>
        </is>
      </c>
      <c r="AX205" s="58" t="n">
        <v>7.0</v>
      </c>
      <c r="AY205" s="59" t="inlineStr">
        <is>
          <t/>
        </is>
      </c>
      <c r="AZ205" s="60" t="inlineStr">
        <is>
          <t/>
        </is>
      </c>
      <c r="BA205" s="61" t="inlineStr">
        <is>
          <t/>
        </is>
      </c>
      <c r="BB205" s="62" t="inlineStr">
        <is>
          <t>Balderton Capital (www.balderton.com), Kima Ventures (www.kimaventures.com)</t>
        </is>
      </c>
      <c r="BC205" s="63" t="inlineStr">
        <is>
          <t/>
        </is>
      </c>
      <c r="BD205" s="64" t="inlineStr">
        <is>
          <t/>
        </is>
      </c>
      <c r="BE205" s="65" t="inlineStr">
        <is>
          <t>Walter Billet Avocats (Legal Advisor)</t>
        </is>
      </c>
      <c r="BF205" s="66" t="inlineStr">
        <is>
          <t>Walter Billet Avocats (Legal Advisor)</t>
        </is>
      </c>
      <c r="BG205" s="67" t="n">
        <v>42558.0</v>
      </c>
      <c r="BH205" s="68" t="n">
        <v>2.0</v>
      </c>
      <c r="BI205" s="69" t="inlineStr">
        <is>
          <t>Actual</t>
        </is>
      </c>
      <c r="BJ205" s="70" t="inlineStr">
        <is>
          <t/>
        </is>
      </c>
      <c r="BK205" s="71" t="inlineStr">
        <is>
          <t/>
        </is>
      </c>
      <c r="BL205" s="72" t="inlineStr">
        <is>
          <t>Early Stage VC</t>
        </is>
      </c>
      <c r="BM205" s="73" t="inlineStr">
        <is>
          <t/>
        </is>
      </c>
      <c r="BN205" s="74" t="inlineStr">
        <is>
          <t/>
        </is>
      </c>
      <c r="BO205" s="75" t="inlineStr">
        <is>
          <t>Venture Capital</t>
        </is>
      </c>
      <c r="BP205" s="76" t="inlineStr">
        <is>
          <t/>
        </is>
      </c>
      <c r="BQ205" s="77" t="inlineStr">
        <is>
          <t/>
        </is>
      </c>
      <c r="BR205" s="78" t="inlineStr">
        <is>
          <t/>
        </is>
      </c>
      <c r="BS205" s="79" t="inlineStr">
        <is>
          <t>Completed</t>
        </is>
      </c>
      <c r="BT205" s="80" t="n">
        <v>42992.0</v>
      </c>
      <c r="BU205" s="81" t="n">
        <v>7.5</v>
      </c>
      <c r="BV205" s="82" t="inlineStr">
        <is>
          <t>Actual</t>
        </is>
      </c>
      <c r="BW205" s="83" t="inlineStr">
        <is>
          <t/>
        </is>
      </c>
      <c r="BX205" s="84" t="inlineStr">
        <is>
          <t/>
        </is>
      </c>
      <c r="BY205" s="85" t="inlineStr">
        <is>
          <t>Early Stage VC</t>
        </is>
      </c>
      <c r="BZ205" s="86" t="inlineStr">
        <is>
          <t>Series A</t>
        </is>
      </c>
      <c r="CA205" s="87" t="inlineStr">
        <is>
          <t/>
        </is>
      </c>
      <c r="CB205" s="88" t="inlineStr">
        <is>
          <t>Venture Capital</t>
        </is>
      </c>
      <c r="CC205" s="89" t="inlineStr">
        <is>
          <t/>
        </is>
      </c>
      <c r="CD205" s="90" t="inlineStr">
        <is>
          <t/>
        </is>
      </c>
      <c r="CE205" s="91" t="inlineStr">
        <is>
          <t/>
        </is>
      </c>
      <c r="CF205" s="92" t="inlineStr">
        <is>
          <t>Completed</t>
        </is>
      </c>
      <c r="CG205" s="93" t="inlineStr">
        <is>
          <t>-2,99%</t>
        </is>
      </c>
      <c r="CH205" s="94" t="inlineStr">
        <is>
          <t>7</t>
        </is>
      </c>
      <c r="CI205" s="95" t="inlineStr">
        <is>
          <t>0,02%</t>
        </is>
      </c>
      <c r="CJ205" s="96" t="inlineStr">
        <is>
          <t>0,62%</t>
        </is>
      </c>
      <c r="CK205" s="97" t="inlineStr">
        <is>
          <t>-6,82%</t>
        </is>
      </c>
      <c r="CL205" s="98" t="inlineStr">
        <is>
          <t>6</t>
        </is>
      </c>
      <c r="CM205" s="99" t="inlineStr">
        <is>
          <t>0,84%</t>
        </is>
      </c>
      <c r="CN205" s="100" t="inlineStr">
        <is>
          <t>94</t>
        </is>
      </c>
      <c r="CO205" s="101" t="inlineStr">
        <is>
          <t>-13,63%</t>
        </is>
      </c>
      <c r="CP205" s="102" t="inlineStr">
        <is>
          <t>9</t>
        </is>
      </c>
      <c r="CQ205" s="103" t="inlineStr">
        <is>
          <t>0,00%</t>
        </is>
      </c>
      <c r="CR205" s="104" t="inlineStr">
        <is>
          <t>20</t>
        </is>
      </c>
      <c r="CS205" s="105" t="inlineStr">
        <is>
          <t/>
        </is>
      </c>
      <c r="CT205" s="106" t="inlineStr">
        <is>
          <t/>
        </is>
      </c>
      <c r="CU205" s="107" t="inlineStr">
        <is>
          <t>0,84%</t>
        </is>
      </c>
      <c r="CV205" s="108" t="inlineStr">
        <is>
          <t>96</t>
        </is>
      </c>
      <c r="CW205" s="109" t="inlineStr">
        <is>
          <t>1,30x</t>
        </is>
      </c>
      <c r="CX205" s="110" t="inlineStr">
        <is>
          <t>55</t>
        </is>
      </c>
      <c r="CY205" s="111" t="inlineStr">
        <is>
          <t>-0,02x</t>
        </is>
      </c>
      <c r="CZ205" s="112" t="inlineStr">
        <is>
          <t>-1,26%</t>
        </is>
      </c>
      <c r="DA205" s="113" t="inlineStr">
        <is>
          <t>1,14x</t>
        </is>
      </c>
      <c r="DB205" s="114" t="inlineStr">
        <is>
          <t>54</t>
        </is>
      </c>
      <c r="DC205" s="115" t="inlineStr">
        <is>
          <t>1,46x</t>
        </is>
      </c>
      <c r="DD205" s="116" t="inlineStr">
        <is>
          <t>56</t>
        </is>
      </c>
      <c r="DE205" s="117" t="inlineStr">
        <is>
          <t>0,64x</t>
        </is>
      </c>
      <c r="DF205" s="118" t="inlineStr">
        <is>
          <t>39</t>
        </is>
      </c>
      <c r="DG205" s="119" t="inlineStr">
        <is>
          <t>1,64x</t>
        </is>
      </c>
      <c r="DH205" s="120" t="inlineStr">
        <is>
          <t>61</t>
        </is>
      </c>
      <c r="DI205" s="121" t="inlineStr">
        <is>
          <t/>
        </is>
      </c>
      <c r="DJ205" s="122" t="inlineStr">
        <is>
          <t/>
        </is>
      </c>
      <c r="DK205" s="123" t="inlineStr">
        <is>
          <t>1,46x</t>
        </is>
      </c>
      <c r="DL205" s="124" t="inlineStr">
        <is>
          <t>58</t>
        </is>
      </c>
      <c r="DM205" s="125" t="inlineStr">
        <is>
          <t>398</t>
        </is>
      </c>
      <c r="DN205" s="126" t="inlineStr">
        <is>
          <t>-373</t>
        </is>
      </c>
      <c r="DO205" s="127" t="inlineStr">
        <is>
          <t>-48,38%</t>
        </is>
      </c>
      <c r="DP205" s="128" t="inlineStr">
        <is>
          <t/>
        </is>
      </c>
      <c r="DQ205" s="129" t="inlineStr">
        <is>
          <t/>
        </is>
      </c>
      <c r="DR205" s="130" t="inlineStr">
        <is>
          <t/>
        </is>
      </c>
      <c r="DS205" s="131" t="inlineStr">
        <is>
          <t>60</t>
        </is>
      </c>
      <c r="DT205" s="132" t="inlineStr">
        <is>
          <t>-2</t>
        </is>
      </c>
      <c r="DU205" s="133" t="inlineStr">
        <is>
          <t>-3,23%</t>
        </is>
      </c>
      <c r="DV205" s="134" t="inlineStr">
        <is>
          <t>544</t>
        </is>
      </c>
      <c r="DW205" s="135" t="inlineStr">
        <is>
          <t>8</t>
        </is>
      </c>
      <c r="DX205" s="136" t="inlineStr">
        <is>
          <t>1,49%</t>
        </is>
      </c>
      <c r="DY205" s="137" t="inlineStr">
        <is>
          <t>PitchBook Research</t>
        </is>
      </c>
      <c r="DZ205" s="785">
        <f>HYPERLINK("https://my.pitchbook.com?c=166206-88", "View company online")</f>
      </c>
    </row>
    <row r="206">
      <c r="A206" s="139" t="inlineStr">
        <is>
          <t>163607-41</t>
        </is>
      </c>
      <c r="B206" s="140" t="inlineStr">
        <is>
          <t>Syft</t>
        </is>
      </c>
      <c r="C206" s="141" t="inlineStr">
        <is>
          <t>Recrootme</t>
        </is>
      </c>
      <c r="D206" s="142" t="inlineStr">
        <is>
          <t/>
        </is>
      </c>
      <c r="E206" s="143" t="inlineStr">
        <is>
          <t>163607-41</t>
        </is>
      </c>
      <c r="F206" s="144" t="inlineStr">
        <is>
          <t>Provider of an online recruitment platform designed to connect job-seekers with employers. The company's online recruitment application browses through profiles of candidates and handles payrolls, enabling employers to connect with trained and rated temporary staff in hospitality.</t>
        </is>
      </c>
      <c r="G206" s="145" t="inlineStr">
        <is>
          <t>Business Products and Services (B2B)</t>
        </is>
      </c>
      <c r="H206" s="146" t="inlineStr">
        <is>
          <t>Commercial Services</t>
        </is>
      </c>
      <c r="I206" s="147" t="inlineStr">
        <is>
          <t>Human Capital Services</t>
        </is>
      </c>
      <c r="J206" s="148" t="inlineStr">
        <is>
          <t>Human Capital Services*; Application Software</t>
        </is>
      </c>
      <c r="K206" s="149" t="inlineStr">
        <is>
          <t>Mobile, SaaS</t>
        </is>
      </c>
      <c r="L206" s="150" t="inlineStr">
        <is>
          <t>Venture Capital-Backed</t>
        </is>
      </c>
      <c r="M206" s="151" t="n">
        <v>9.86</v>
      </c>
      <c r="N206" s="152" t="inlineStr">
        <is>
          <t>Generating Revenue</t>
        </is>
      </c>
      <c r="O206" s="153" t="inlineStr">
        <is>
          <t>Privately Held (backing)</t>
        </is>
      </c>
      <c r="P206" s="154" t="inlineStr">
        <is>
          <t>Venture Capital</t>
        </is>
      </c>
      <c r="Q206" s="155" t="inlineStr">
        <is>
          <t>www.syftapp.com</t>
        </is>
      </c>
      <c r="R206" s="156" t="n">
        <v>14.0</v>
      </c>
      <c r="S206" s="157" t="inlineStr">
        <is>
          <t/>
        </is>
      </c>
      <c r="T206" s="158" t="inlineStr">
        <is>
          <t/>
        </is>
      </c>
      <c r="U206" s="159" t="n">
        <v>2015.0</v>
      </c>
      <c r="V206" s="160" t="inlineStr">
        <is>
          <t/>
        </is>
      </c>
      <c r="W206" s="161" t="inlineStr">
        <is>
          <t/>
        </is>
      </c>
      <c r="X206" s="162" t="inlineStr">
        <is>
          <t/>
        </is>
      </c>
      <c r="Y206" s="163" t="inlineStr">
        <is>
          <t/>
        </is>
      </c>
      <c r="Z206" s="164" t="inlineStr">
        <is>
          <t/>
        </is>
      </c>
      <c r="AA206" s="165" t="inlineStr">
        <is>
          <t/>
        </is>
      </c>
      <c r="AB206" s="166" t="inlineStr">
        <is>
          <t/>
        </is>
      </c>
      <c r="AC206" s="167" t="inlineStr">
        <is>
          <t/>
        </is>
      </c>
      <c r="AD206" s="168" t="inlineStr">
        <is>
          <t/>
        </is>
      </c>
      <c r="AE206" s="169" t="inlineStr">
        <is>
          <t>141886-36P</t>
        </is>
      </c>
      <c r="AF206" s="170" t="inlineStr">
        <is>
          <t>Novo Abakare</t>
        </is>
      </c>
      <c r="AG206" s="171" t="inlineStr">
        <is>
          <t>Co-Founder, Board Member &amp; Chief Operating Officer</t>
        </is>
      </c>
      <c r="AH206" s="172" t="inlineStr">
        <is>
          <t>novo@syft-app.com</t>
        </is>
      </c>
      <c r="AI206" s="173" t="inlineStr">
        <is>
          <t>+44 (0)20 3488 1383</t>
        </is>
      </c>
      <c r="AJ206" s="174" t="inlineStr">
        <is>
          <t>London, United Kingdom</t>
        </is>
      </c>
      <c r="AK206" s="175" t="inlineStr">
        <is>
          <t>53 Parker Street</t>
        </is>
      </c>
      <c r="AL206" s="176" t="inlineStr">
        <is>
          <t>Holborn</t>
        </is>
      </c>
      <c r="AM206" s="177" t="inlineStr">
        <is>
          <t>London</t>
        </is>
      </c>
      <c r="AN206" s="178" t="inlineStr">
        <is>
          <t>England</t>
        </is>
      </c>
      <c r="AO206" s="179" t="inlineStr">
        <is>
          <t>WC2B 5PT</t>
        </is>
      </c>
      <c r="AP206" s="180" t="inlineStr">
        <is>
          <t>United Kingdom</t>
        </is>
      </c>
      <c r="AQ206" s="181" t="inlineStr">
        <is>
          <t>+44 (0)20 3488 1383</t>
        </is>
      </c>
      <c r="AR206" s="182" t="inlineStr">
        <is>
          <t/>
        </is>
      </c>
      <c r="AS206" s="183" t="inlineStr">
        <is>
          <t/>
        </is>
      </c>
      <c r="AT206" s="184" t="inlineStr">
        <is>
          <t>Europe</t>
        </is>
      </c>
      <c r="AU206" s="185" t="inlineStr">
        <is>
          <t>Western Europe</t>
        </is>
      </c>
      <c r="AV206" s="186" t="inlineStr">
        <is>
          <t>The company raised GBP 6.1 million of Series A venture funding in a round led by Creandum on September 7, 2017. PROfounders Capital, Colle Capital Partners, David Haye and Lord Young also participated in this round. The funding will be used to expand into the warehousing and industrial sectors, as well as cities including Liverpool, Leeds and Birmingham.The company has raised GBP 8.7 million funding to date. Previously, the company raised GBP 2.60 million of seed funding from David Haye, PROfounders Capital and Lord Young on August 3, 2016, putting the pre-money valuation at GBP 2.75 million. Mike Kershaw, Alex Macdonald and other undisclosed investors also participated in the round.</t>
        </is>
      </c>
      <c r="AW206" s="187" t="inlineStr">
        <is>
          <t>Colle Capital Partners, Creandum, David Haye, Lord Young, Mike Kershaw, PROfounders Capital</t>
        </is>
      </c>
      <c r="AX206" s="188" t="n">
        <v>6.0</v>
      </c>
      <c r="AY206" s="189" t="inlineStr">
        <is>
          <t/>
        </is>
      </c>
      <c r="AZ206" s="190" t="inlineStr">
        <is>
          <t/>
        </is>
      </c>
      <c r="BA206" s="191" t="inlineStr">
        <is>
          <t/>
        </is>
      </c>
      <c r="BB206" s="192" t="inlineStr">
        <is>
          <t>Colle Capital Partners (www.collecapital.com), Creandum (www.creandum.com), PROfounders Capital (www.profounderscapital.com)</t>
        </is>
      </c>
      <c r="BC206" s="193" t="inlineStr">
        <is>
          <t/>
        </is>
      </c>
      <c r="BD206" s="194" t="inlineStr">
        <is>
          <t/>
        </is>
      </c>
      <c r="BE206" s="195" t="inlineStr">
        <is>
          <t/>
        </is>
      </c>
      <c r="BF206" s="196" t="inlineStr">
        <is>
          <t/>
        </is>
      </c>
      <c r="BG206" s="197" t="n">
        <v>42627.0</v>
      </c>
      <c r="BH206" s="198" t="n">
        <v>3.06</v>
      </c>
      <c r="BI206" s="199" t="inlineStr">
        <is>
          <t>Actual</t>
        </is>
      </c>
      <c r="BJ206" s="200" t="n">
        <v>6.3</v>
      </c>
      <c r="BK206" s="201" t="inlineStr">
        <is>
          <t>Actual</t>
        </is>
      </c>
      <c r="BL206" s="202" t="inlineStr">
        <is>
          <t>Seed Round</t>
        </is>
      </c>
      <c r="BM206" s="203" t="inlineStr">
        <is>
          <t>Seed</t>
        </is>
      </c>
      <c r="BN206" s="204" t="inlineStr">
        <is>
          <t/>
        </is>
      </c>
      <c r="BO206" s="205" t="inlineStr">
        <is>
          <t>Venture Capital</t>
        </is>
      </c>
      <c r="BP206" s="206" t="inlineStr">
        <is>
          <t/>
        </is>
      </c>
      <c r="BQ206" s="207" t="inlineStr">
        <is>
          <t/>
        </is>
      </c>
      <c r="BR206" s="208" t="inlineStr">
        <is>
          <t/>
        </is>
      </c>
      <c r="BS206" s="209" t="inlineStr">
        <is>
          <t>Completed</t>
        </is>
      </c>
      <c r="BT206" s="210" t="n">
        <v>42985.0</v>
      </c>
      <c r="BU206" s="211" t="n">
        <v>6.8</v>
      </c>
      <c r="BV206" s="212" t="inlineStr">
        <is>
          <t>Actual</t>
        </is>
      </c>
      <c r="BW206" s="213" t="inlineStr">
        <is>
          <t/>
        </is>
      </c>
      <c r="BX206" s="214" t="inlineStr">
        <is>
          <t/>
        </is>
      </c>
      <c r="BY206" s="215" t="inlineStr">
        <is>
          <t>Early Stage VC</t>
        </is>
      </c>
      <c r="BZ206" s="216" t="inlineStr">
        <is>
          <t>Series A</t>
        </is>
      </c>
      <c r="CA206" s="217" t="inlineStr">
        <is>
          <t/>
        </is>
      </c>
      <c r="CB206" s="218" t="inlineStr">
        <is>
          <t>Venture Capital</t>
        </is>
      </c>
      <c r="CC206" s="219" t="inlineStr">
        <is>
          <t/>
        </is>
      </c>
      <c r="CD206" s="220" t="inlineStr">
        <is>
          <t/>
        </is>
      </c>
      <c r="CE206" s="221" t="inlineStr">
        <is>
          <t/>
        </is>
      </c>
      <c r="CF206" s="222" t="inlineStr">
        <is>
          <t>Completed</t>
        </is>
      </c>
      <c r="CG206" s="223" t="inlineStr">
        <is>
          <t>-4,55%</t>
        </is>
      </c>
      <c r="CH206" s="224" t="inlineStr">
        <is>
          <t>4</t>
        </is>
      </c>
      <c r="CI206" s="225" t="inlineStr">
        <is>
          <t>0,07%</t>
        </is>
      </c>
      <c r="CJ206" s="226" t="inlineStr">
        <is>
          <t>1,49%</t>
        </is>
      </c>
      <c r="CK206" s="227" t="inlineStr">
        <is>
          <t>-10,88%</t>
        </is>
      </c>
      <c r="CL206" s="228" t="inlineStr">
        <is>
          <t>3</t>
        </is>
      </c>
      <c r="CM206" s="229" t="inlineStr">
        <is>
          <t>1,79%</t>
        </is>
      </c>
      <c r="CN206" s="230" t="inlineStr">
        <is>
          <t>98</t>
        </is>
      </c>
      <c r="CO206" s="231" t="inlineStr">
        <is>
          <t>-10,88%</t>
        </is>
      </c>
      <c r="CP206" s="232" t="inlineStr">
        <is>
          <t>12</t>
        </is>
      </c>
      <c r="CQ206" s="233" t="inlineStr">
        <is>
          <t/>
        </is>
      </c>
      <c r="CR206" s="234" t="inlineStr">
        <is>
          <t/>
        </is>
      </c>
      <c r="CS206" s="235" t="inlineStr">
        <is>
          <t>2,46%</t>
        </is>
      </c>
      <c r="CT206" s="236" t="inlineStr">
        <is>
          <t>99</t>
        </is>
      </c>
      <c r="CU206" s="237" t="inlineStr">
        <is>
          <t>1,12%</t>
        </is>
      </c>
      <c r="CV206" s="238" t="inlineStr">
        <is>
          <t>97</t>
        </is>
      </c>
      <c r="CW206" s="239" t="inlineStr">
        <is>
          <t>0,99x</t>
        </is>
      </c>
      <c r="CX206" s="240" t="inlineStr">
        <is>
          <t>49</t>
        </is>
      </c>
      <c r="CY206" s="241" t="inlineStr">
        <is>
          <t>0,01x</t>
        </is>
      </c>
      <c r="CZ206" s="242" t="inlineStr">
        <is>
          <t>1,04%</t>
        </is>
      </c>
      <c r="DA206" s="243" t="inlineStr">
        <is>
          <t>0,08x</t>
        </is>
      </c>
      <c r="DB206" s="244" t="inlineStr">
        <is>
          <t>7</t>
        </is>
      </c>
      <c r="DC206" s="245" t="inlineStr">
        <is>
          <t>1,90x</t>
        </is>
      </c>
      <c r="DD206" s="246" t="inlineStr">
        <is>
          <t>61</t>
        </is>
      </c>
      <c r="DE206" s="247" t="inlineStr">
        <is>
          <t>0,08x</t>
        </is>
      </c>
      <c r="DF206" s="248" t="inlineStr">
        <is>
          <t>3</t>
        </is>
      </c>
      <c r="DG206" s="249" t="inlineStr">
        <is>
          <t/>
        </is>
      </c>
      <c r="DH206" s="250" t="inlineStr">
        <is>
          <t/>
        </is>
      </c>
      <c r="DI206" s="251" t="inlineStr">
        <is>
          <t>2,59x</t>
        </is>
      </c>
      <c r="DJ206" s="252" t="inlineStr">
        <is>
          <t>66</t>
        </is>
      </c>
      <c r="DK206" s="253" t="inlineStr">
        <is>
          <t>1,22x</t>
        </is>
      </c>
      <c r="DL206" s="254" t="inlineStr">
        <is>
          <t>54</t>
        </is>
      </c>
      <c r="DM206" s="255" t="inlineStr">
        <is>
          <t>31</t>
        </is>
      </c>
      <c r="DN206" s="256" t="inlineStr">
        <is>
          <t>-9</t>
        </is>
      </c>
      <c r="DO206" s="257" t="inlineStr">
        <is>
          <t>-22,50%</t>
        </is>
      </c>
      <c r="DP206" s="258" t="inlineStr">
        <is>
          <t>2.023</t>
        </is>
      </c>
      <c r="DQ206" s="259" t="inlineStr">
        <is>
          <t>45</t>
        </is>
      </c>
      <c r="DR206" s="260" t="inlineStr">
        <is>
          <t>2,28%</t>
        </is>
      </c>
      <c r="DS206" s="261" t="inlineStr">
        <is>
          <t/>
        </is>
      </c>
      <c r="DT206" s="262" t="inlineStr">
        <is>
          <t/>
        </is>
      </c>
      <c r="DU206" s="263" t="inlineStr">
        <is>
          <t/>
        </is>
      </c>
      <c r="DV206" s="264" t="inlineStr">
        <is>
          <t>457</t>
        </is>
      </c>
      <c r="DW206" s="265" t="inlineStr">
        <is>
          <t>7</t>
        </is>
      </c>
      <c r="DX206" s="266" t="inlineStr">
        <is>
          <t>1,56%</t>
        </is>
      </c>
      <c r="DY206" s="267" t="inlineStr">
        <is>
          <t>PitchBook Research</t>
        </is>
      </c>
      <c r="DZ206" s="786">
        <f>HYPERLINK("https://my.pitchbook.com?c=163607-41", "View company online")</f>
      </c>
    </row>
    <row r="207">
      <c r="A207" s="9" t="inlineStr">
        <is>
          <t>166866-40</t>
        </is>
      </c>
      <c r="B207" s="10" t="inlineStr">
        <is>
          <t>Echo (Application Software)</t>
        </is>
      </c>
      <c r="C207" s="11" t="inlineStr">
        <is>
          <t>Crs Newco</t>
        </is>
      </c>
      <c r="D207" s="12" t="inlineStr">
        <is>
          <t/>
        </is>
      </c>
      <c r="E207" s="13" t="inlineStr">
        <is>
          <t>166866-40</t>
        </is>
      </c>
      <c r="F207" s="14" t="inlineStr">
        <is>
          <t>Provider of a medical platform intended to order NHS prescriptions and get medication delivered at home. The company's medical platform streamlines medication management, enabling customers to order the medications they need and also manage their repeat prescriptions.</t>
        </is>
      </c>
      <c r="G207" s="15" t="inlineStr">
        <is>
          <t>Information Technology</t>
        </is>
      </c>
      <c r="H207" s="16" t="inlineStr">
        <is>
          <t>Software</t>
        </is>
      </c>
      <c r="I207" s="17" t="inlineStr">
        <is>
          <t>Application Software</t>
        </is>
      </c>
      <c r="J207" s="18" t="inlineStr">
        <is>
          <t>Application Software*; Outcome Management (Healthcare); Other Healthcare Technology Systems</t>
        </is>
      </c>
      <c r="K207" s="19" t="inlineStr">
        <is>
          <t>HealthTech, Mobile</t>
        </is>
      </c>
      <c r="L207" s="20" t="inlineStr">
        <is>
          <t>Venture Capital-Backed</t>
        </is>
      </c>
      <c r="M207" s="21" t="n">
        <v>9.93</v>
      </c>
      <c r="N207" s="22" t="inlineStr">
        <is>
          <t>Generating Revenue</t>
        </is>
      </c>
      <c r="O207" s="23" t="inlineStr">
        <is>
          <t>Privately Held (backing)</t>
        </is>
      </c>
      <c r="P207" s="24" t="inlineStr">
        <is>
          <t>Venture Capital</t>
        </is>
      </c>
      <c r="Q207" s="25" t="inlineStr">
        <is>
          <t>www.echo.co.uk</t>
        </is>
      </c>
      <c r="R207" s="26" t="n">
        <v>26.0</v>
      </c>
      <c r="S207" s="27" t="inlineStr">
        <is>
          <t/>
        </is>
      </c>
      <c r="T207" s="28" t="inlineStr">
        <is>
          <t/>
        </is>
      </c>
      <c r="U207" s="29" t="n">
        <v>2015.0</v>
      </c>
      <c r="V207" s="30" t="inlineStr">
        <is>
          <t/>
        </is>
      </c>
      <c r="W207" s="31" t="inlineStr">
        <is>
          <t/>
        </is>
      </c>
      <c r="X207" s="32" t="inlineStr">
        <is>
          <t/>
        </is>
      </c>
      <c r="Y207" s="33" t="inlineStr">
        <is>
          <t/>
        </is>
      </c>
      <c r="Z207" s="34" t="inlineStr">
        <is>
          <t/>
        </is>
      </c>
      <c r="AA207" s="35" t="inlineStr">
        <is>
          <t/>
        </is>
      </c>
      <c r="AB207" s="36" t="inlineStr">
        <is>
          <t/>
        </is>
      </c>
      <c r="AC207" s="37" t="inlineStr">
        <is>
          <t/>
        </is>
      </c>
      <c r="AD207" s="38" t="inlineStr">
        <is>
          <t/>
        </is>
      </c>
      <c r="AE207" s="39" t="inlineStr">
        <is>
          <t>146974-60P</t>
        </is>
      </c>
      <c r="AF207" s="40" t="inlineStr">
        <is>
          <t>Sai Lakshmi</t>
        </is>
      </c>
      <c r="AG207" s="41" t="inlineStr">
        <is>
          <t>Co-Founder &amp; Chief Executive Officer</t>
        </is>
      </c>
      <c r="AH207" s="42" t="inlineStr">
        <is>
          <t>sai.lakshmi@echo.co.uk</t>
        </is>
      </c>
      <c r="AI207" s="43" t="inlineStr">
        <is>
          <t/>
        </is>
      </c>
      <c r="AJ207" s="44" t="inlineStr">
        <is>
          <t>London, United Kingdom</t>
        </is>
      </c>
      <c r="AK207" s="45" t="inlineStr">
        <is>
          <t>228-230 Uxbridge Road</t>
        </is>
      </c>
      <c r="AL207" s="46" t="inlineStr">
        <is>
          <t/>
        </is>
      </c>
      <c r="AM207" s="47" t="inlineStr">
        <is>
          <t>London</t>
        </is>
      </c>
      <c r="AN207" s="48" t="inlineStr">
        <is>
          <t>England</t>
        </is>
      </c>
      <c r="AO207" s="49" t="inlineStr">
        <is>
          <t>W12 7JD</t>
        </is>
      </c>
      <c r="AP207" s="50" t="inlineStr">
        <is>
          <t>United Kingdom</t>
        </is>
      </c>
      <c r="AQ207" s="51" t="inlineStr">
        <is>
          <t/>
        </is>
      </c>
      <c r="AR207" s="52" t="inlineStr">
        <is>
          <t/>
        </is>
      </c>
      <c r="AS207" s="53" t="inlineStr">
        <is>
          <t>hello@echo.co.uk</t>
        </is>
      </c>
      <c r="AT207" s="54" t="inlineStr">
        <is>
          <t>Europe</t>
        </is>
      </c>
      <c r="AU207" s="55" t="inlineStr">
        <is>
          <t>Western Europe</t>
        </is>
      </c>
      <c r="AV207" s="56" t="inlineStr">
        <is>
          <t>The company raised GBP 7 million of Series A venture funding in a deal led by White Star Capital on October 25, 2017. MMC Ventures, Global Founders Capital, Rocket Internet, Public.io and LocalGlobe also participated in the round. The funds will be used to further invest in R&amp;D, build out engineering team and scale the business, working with colleagues across the NHS and primary care. Earlier, the company raised GBP 1.8 million of seed funding in a deal led by LocalGlobe and Hambro Perks on November 15, 2016, putting the company's pre-money valuation at GBP 3.1 million. Rocket Internet and Global Founders Capital also participated in the round.</t>
        </is>
      </c>
      <c r="AW207" s="57" t="inlineStr">
        <is>
          <t>Global Founders Capital, Hambro Perks, LocalGlobe, MMC Ventures, Public.io, Rocket Internet, White Star Capital</t>
        </is>
      </c>
      <c r="AX207" s="58" t="n">
        <v>7.0</v>
      </c>
      <c r="AY207" s="59" t="inlineStr">
        <is>
          <t/>
        </is>
      </c>
      <c r="AZ207" s="60" t="inlineStr">
        <is>
          <t/>
        </is>
      </c>
      <c r="BA207" s="61" t="inlineStr">
        <is>
          <t/>
        </is>
      </c>
      <c r="BB207" s="62" t="inlineStr">
        <is>
          <t>Global Founders Capital (www.globalfounders.vc), Hambro Perks (www.hambroperks.com), LocalGlobe (www.localglobe.vc), MMC Ventures (www.mmcventures.com), Public.io (www.public.io), Rocket Internet (www.rocket-internet.com), White Star Capital (www.whitestarvc.com)</t>
        </is>
      </c>
      <c r="BC207" s="63" t="inlineStr">
        <is>
          <t/>
        </is>
      </c>
      <c r="BD207" s="64" t="inlineStr">
        <is>
          <t/>
        </is>
      </c>
      <c r="BE207" s="65" t="inlineStr">
        <is>
          <t>Olswang (Legal Advisor), CMS Hasche Sigle (Legal Advisor)</t>
        </is>
      </c>
      <c r="BF207" s="66" t="inlineStr">
        <is>
          <t>Olswang (Legal Advisor), CMS Hasche Sigle (Legal Advisor)</t>
        </is>
      </c>
      <c r="BG207" s="67" t="n">
        <v>42689.0</v>
      </c>
      <c r="BH207" s="68" t="n">
        <v>2.07</v>
      </c>
      <c r="BI207" s="69" t="inlineStr">
        <is>
          <t>Actual</t>
        </is>
      </c>
      <c r="BJ207" s="70" t="n">
        <v>5.64</v>
      </c>
      <c r="BK207" s="71" t="inlineStr">
        <is>
          <t>Actual</t>
        </is>
      </c>
      <c r="BL207" s="72" t="inlineStr">
        <is>
          <t>Seed Round</t>
        </is>
      </c>
      <c r="BM207" s="73" t="inlineStr">
        <is>
          <t>Seed</t>
        </is>
      </c>
      <c r="BN207" s="74" t="inlineStr">
        <is>
          <t/>
        </is>
      </c>
      <c r="BO207" s="75" t="inlineStr">
        <is>
          <t>Venture Capital</t>
        </is>
      </c>
      <c r="BP207" s="76" t="inlineStr">
        <is>
          <t/>
        </is>
      </c>
      <c r="BQ207" s="77" t="inlineStr">
        <is>
          <t/>
        </is>
      </c>
      <c r="BR207" s="78" t="inlineStr">
        <is>
          <t/>
        </is>
      </c>
      <c r="BS207" s="79" t="inlineStr">
        <is>
          <t>Completed</t>
        </is>
      </c>
      <c r="BT207" s="80" t="n">
        <v>43033.0</v>
      </c>
      <c r="BU207" s="81" t="n">
        <v>7.86</v>
      </c>
      <c r="BV207" s="82" t="inlineStr">
        <is>
          <t>Actual</t>
        </is>
      </c>
      <c r="BW207" s="83" t="inlineStr">
        <is>
          <t/>
        </is>
      </c>
      <c r="BX207" s="84" t="inlineStr">
        <is>
          <t/>
        </is>
      </c>
      <c r="BY207" s="85" t="inlineStr">
        <is>
          <t>Early Stage VC</t>
        </is>
      </c>
      <c r="BZ207" s="86" t="inlineStr">
        <is>
          <t>Series A</t>
        </is>
      </c>
      <c r="CA207" s="87" t="inlineStr">
        <is>
          <t/>
        </is>
      </c>
      <c r="CB207" s="88" t="inlineStr">
        <is>
          <t>Venture Capital</t>
        </is>
      </c>
      <c r="CC207" s="89" t="inlineStr">
        <is>
          <t/>
        </is>
      </c>
      <c r="CD207" s="90" t="inlineStr">
        <is>
          <t/>
        </is>
      </c>
      <c r="CE207" s="91" t="inlineStr">
        <is>
          <t/>
        </is>
      </c>
      <c r="CF207" s="92" t="inlineStr">
        <is>
          <t>Completed</t>
        </is>
      </c>
      <c r="CG207" s="93" t="inlineStr">
        <is>
          <t>3,15%</t>
        </is>
      </c>
      <c r="CH207" s="94" t="inlineStr">
        <is>
          <t>99</t>
        </is>
      </c>
      <c r="CI207" s="95" t="inlineStr">
        <is>
          <t>0,74%</t>
        </is>
      </c>
      <c r="CJ207" s="96" t="inlineStr">
        <is>
          <t>30,65%</t>
        </is>
      </c>
      <c r="CK207" s="97" t="inlineStr">
        <is>
          <t>-6,53%</t>
        </is>
      </c>
      <c r="CL207" s="98" t="inlineStr">
        <is>
          <t>6</t>
        </is>
      </c>
      <c r="CM207" s="99" t="inlineStr">
        <is>
          <t>14,96%</t>
        </is>
      </c>
      <c r="CN207" s="100" t="inlineStr">
        <is>
          <t>100</t>
        </is>
      </c>
      <c r="CO207" s="101" t="inlineStr">
        <is>
          <t>-13,31%</t>
        </is>
      </c>
      <c r="CP207" s="102" t="inlineStr">
        <is>
          <t>10</t>
        </is>
      </c>
      <c r="CQ207" s="103" t="inlineStr">
        <is>
          <t>0,25%</t>
        </is>
      </c>
      <c r="CR207" s="104" t="inlineStr">
        <is>
          <t>90</t>
        </is>
      </c>
      <c r="CS207" s="105" t="inlineStr">
        <is>
          <t>7,98%</t>
        </is>
      </c>
      <c r="CT207" s="106" t="inlineStr">
        <is>
          <t>100</t>
        </is>
      </c>
      <c r="CU207" s="107" t="inlineStr">
        <is>
          <t>21,94%</t>
        </is>
      </c>
      <c r="CV207" s="108" t="inlineStr">
        <is>
          <t>100</t>
        </is>
      </c>
      <c r="CW207" s="109" t="inlineStr">
        <is>
          <t>3,50x</t>
        </is>
      </c>
      <c r="CX207" s="110" t="inlineStr">
        <is>
          <t>74</t>
        </is>
      </c>
      <c r="CY207" s="111" t="inlineStr">
        <is>
          <t>0,09x</t>
        </is>
      </c>
      <c r="CZ207" s="112" t="inlineStr">
        <is>
          <t>2,77%</t>
        </is>
      </c>
      <c r="DA207" s="113" t="inlineStr">
        <is>
          <t>3,91x</t>
        </is>
      </c>
      <c r="DB207" s="114" t="inlineStr">
        <is>
          <t>78</t>
        </is>
      </c>
      <c r="DC207" s="115" t="inlineStr">
        <is>
          <t>6,51x</t>
        </is>
      </c>
      <c r="DD207" s="116" t="inlineStr">
        <is>
          <t>79</t>
        </is>
      </c>
      <c r="DE207" s="117" t="inlineStr">
        <is>
          <t>0,60x</t>
        </is>
      </c>
      <c r="DF207" s="118" t="inlineStr">
        <is>
          <t>38</t>
        </is>
      </c>
      <c r="DG207" s="119" t="inlineStr">
        <is>
          <t>7,22x</t>
        </is>
      </c>
      <c r="DH207" s="120" t="inlineStr">
        <is>
          <t>83</t>
        </is>
      </c>
      <c r="DI207" s="121" t="inlineStr">
        <is>
          <t>3,13x</t>
        </is>
      </c>
      <c r="DJ207" s="122" t="inlineStr">
        <is>
          <t>68</t>
        </is>
      </c>
      <c r="DK207" s="123" t="inlineStr">
        <is>
          <t>9,89x</t>
        </is>
      </c>
      <c r="DL207" s="124" t="inlineStr">
        <is>
          <t>87</t>
        </is>
      </c>
      <c r="DM207" s="125" t="inlineStr">
        <is>
          <t>227</t>
        </is>
      </c>
      <c r="DN207" s="126" t="inlineStr">
        <is>
          <t>-20</t>
        </is>
      </c>
      <c r="DO207" s="127" t="inlineStr">
        <is>
          <t>-8,10%</t>
        </is>
      </c>
      <c r="DP207" s="128" t="inlineStr">
        <is>
          <t>2.221</t>
        </is>
      </c>
      <c r="DQ207" s="129" t="inlineStr">
        <is>
          <t>567</t>
        </is>
      </c>
      <c r="DR207" s="130" t="inlineStr">
        <is>
          <t>34,28%</t>
        </is>
      </c>
      <c r="DS207" s="131" t="inlineStr">
        <is>
          <t>261</t>
        </is>
      </c>
      <c r="DT207" s="132" t="inlineStr">
        <is>
          <t>-1</t>
        </is>
      </c>
      <c r="DU207" s="133" t="inlineStr">
        <is>
          <t>-0,38%</t>
        </is>
      </c>
      <c r="DV207" s="134" t="inlineStr">
        <is>
          <t>3.692</t>
        </is>
      </c>
      <c r="DW207" s="135" t="inlineStr">
        <is>
          <t>67</t>
        </is>
      </c>
      <c r="DX207" s="136" t="inlineStr">
        <is>
          <t>1,85%</t>
        </is>
      </c>
      <c r="DY207" s="137" t="inlineStr">
        <is>
          <t>PitchBook Research</t>
        </is>
      </c>
      <c r="DZ207" s="785">
        <f>HYPERLINK("https://my.pitchbook.com?c=166866-40", "View company online")</f>
      </c>
    </row>
    <row r="208">
      <c r="A208" s="139" t="inlineStr">
        <is>
          <t>221467-96</t>
        </is>
      </c>
      <c r="B208" s="140" t="inlineStr">
        <is>
          <t>Papernest</t>
        </is>
      </c>
      <c r="C208" s="141" t="inlineStr">
        <is>
          <t>Souscritoo</t>
        </is>
      </c>
      <c r="D208" s="142" t="inlineStr">
        <is>
          <t/>
        </is>
      </c>
      <c r="E208" s="143" t="inlineStr">
        <is>
          <t>221467-96</t>
        </is>
      </c>
      <c r="F208" s="144" t="inlineStr">
        <is>
          <t>Developer of a Saas based platform designed to facilitate the transfer of contracts. The company's platform offers subscribers free of charge all administrative procedures related to the transfer of insurance, electricity, gas, telephone and internet, enabling users to subscribe their box, insurance and energy subscriptions in one go, free of charge and without paper.</t>
        </is>
      </c>
      <c r="G208" s="145" t="inlineStr">
        <is>
          <t>Information Technology</t>
        </is>
      </c>
      <c r="H208" s="146" t="inlineStr">
        <is>
          <t>Software</t>
        </is>
      </c>
      <c r="I208" s="147" t="inlineStr">
        <is>
          <t>Application Software</t>
        </is>
      </c>
      <c r="J208" s="148" t="inlineStr">
        <is>
          <t>Application Software*</t>
        </is>
      </c>
      <c r="K208" s="149" t="inlineStr">
        <is>
          <t>Mobile, SaaS</t>
        </is>
      </c>
      <c r="L208" s="150" t="inlineStr">
        <is>
          <t>Venture Capital-Backed</t>
        </is>
      </c>
      <c r="M208" s="151" t="n">
        <v>10.0</v>
      </c>
      <c r="N208" s="152" t="inlineStr">
        <is>
          <t>Generating Revenue</t>
        </is>
      </c>
      <c r="O208" s="153" t="inlineStr">
        <is>
          <t>Privately Held (backing)</t>
        </is>
      </c>
      <c r="P208" s="154" t="inlineStr">
        <is>
          <t>Venture Capital</t>
        </is>
      </c>
      <c r="Q208" s="155" t="inlineStr">
        <is>
          <t>www.papernest.com</t>
        </is>
      </c>
      <c r="R208" s="156" t="n">
        <v>130.0</v>
      </c>
      <c r="S208" s="157" t="inlineStr">
        <is>
          <t/>
        </is>
      </c>
      <c r="T208" s="158" t="inlineStr">
        <is>
          <t/>
        </is>
      </c>
      <c r="U208" s="159" t="n">
        <v>2015.0</v>
      </c>
      <c r="V208" s="160" t="inlineStr">
        <is>
          <t/>
        </is>
      </c>
      <c r="W208" s="161" t="inlineStr">
        <is>
          <t/>
        </is>
      </c>
      <c r="X208" s="162" t="inlineStr">
        <is>
          <t/>
        </is>
      </c>
      <c r="Y208" s="163" t="inlineStr">
        <is>
          <t/>
        </is>
      </c>
      <c r="Z208" s="164" t="inlineStr">
        <is>
          <t/>
        </is>
      </c>
      <c r="AA208" s="165" t="inlineStr">
        <is>
          <t/>
        </is>
      </c>
      <c r="AB208" s="166" t="inlineStr">
        <is>
          <t/>
        </is>
      </c>
      <c r="AC208" s="167" t="inlineStr">
        <is>
          <t/>
        </is>
      </c>
      <c r="AD208" s="168" t="inlineStr">
        <is>
          <t/>
        </is>
      </c>
      <c r="AE208" s="169" t="inlineStr">
        <is>
          <t>172762-75P</t>
        </is>
      </c>
      <c r="AF208" s="170" t="inlineStr">
        <is>
          <t>Yannick Servant</t>
        </is>
      </c>
      <c r="AG208" s="171" t="inlineStr">
        <is>
          <t>Chief Marketing Officer</t>
        </is>
      </c>
      <c r="AH208" s="172" t="inlineStr">
        <is>
          <t>yannick@papernest.com</t>
        </is>
      </c>
      <c r="AI208" s="173" t="inlineStr">
        <is>
          <t>+33 (0)9 73 04 16 99</t>
        </is>
      </c>
      <c r="AJ208" s="174" t="inlineStr">
        <is>
          <t>Paris, France</t>
        </is>
      </c>
      <c r="AK208" s="175" t="inlineStr">
        <is>
          <t>157 Boulevard Macdonald</t>
        </is>
      </c>
      <c r="AL208" s="176" t="inlineStr">
        <is>
          <t/>
        </is>
      </c>
      <c r="AM208" s="177" t="inlineStr">
        <is>
          <t>Paris</t>
        </is>
      </c>
      <c r="AN208" s="178" t="inlineStr">
        <is>
          <t/>
        </is>
      </c>
      <c r="AO208" s="179" t="inlineStr">
        <is>
          <t>75019</t>
        </is>
      </c>
      <c r="AP208" s="180" t="inlineStr">
        <is>
          <t>France</t>
        </is>
      </c>
      <c r="AQ208" s="181" t="inlineStr">
        <is>
          <t>+33 (0)9 73 04 16 99</t>
        </is>
      </c>
      <c r="AR208" s="182" t="inlineStr">
        <is>
          <t/>
        </is>
      </c>
      <c r="AS208" s="183" t="inlineStr">
        <is>
          <t>contact@papernest.com</t>
        </is>
      </c>
      <c r="AT208" s="184" t="inlineStr">
        <is>
          <t>Europe</t>
        </is>
      </c>
      <c r="AU208" s="185" t="inlineStr">
        <is>
          <t>Western Europe</t>
        </is>
      </c>
      <c r="AV208" s="186" t="inlineStr">
        <is>
          <t>The company raised EUR 10 million of Series A venture funding led by Partech Ventures on October 17, 2017. BPI, Idinvest Partners and Kima Ventures also participated in this round. This funding will be used to accelerate investment in R &amp; D, in products, to expand teams and to go international as of the 2nd or 3rd year quarter of 2018.</t>
        </is>
      </c>
      <c r="AW208" s="187" t="inlineStr">
        <is>
          <t>Bpifrance, IdInvest Partners, Kima Ventures, Partech Ventures</t>
        </is>
      </c>
      <c r="AX208" s="188" t="n">
        <v>4.0</v>
      </c>
      <c r="AY208" s="189" t="inlineStr">
        <is>
          <t/>
        </is>
      </c>
      <c r="AZ208" s="190" t="inlineStr">
        <is>
          <t/>
        </is>
      </c>
      <c r="BA208" s="191" t="inlineStr">
        <is>
          <t/>
        </is>
      </c>
      <c r="BB208" s="192" t="inlineStr">
        <is>
          <t>Bpifrance (www.bpifrance.fr), IdInvest Partners (www.idinvest.com), Kima Ventures (www.kimaventures.com), Partech Ventures (www.partechventures.com)</t>
        </is>
      </c>
      <c r="BC208" s="193" t="inlineStr">
        <is>
          <t/>
        </is>
      </c>
      <c r="BD208" s="194" t="inlineStr">
        <is>
          <t/>
        </is>
      </c>
      <c r="BE208" s="195" t="inlineStr">
        <is>
          <t/>
        </is>
      </c>
      <c r="BF208" s="196" t="inlineStr">
        <is>
          <t/>
        </is>
      </c>
      <c r="BG208" s="197" t="n">
        <v>43025.0</v>
      </c>
      <c r="BH208" s="198" t="n">
        <v>10.0</v>
      </c>
      <c r="BI208" s="199" t="inlineStr">
        <is>
          <t>Actual</t>
        </is>
      </c>
      <c r="BJ208" s="200" t="inlineStr">
        <is>
          <t/>
        </is>
      </c>
      <c r="BK208" s="201" t="inlineStr">
        <is>
          <t/>
        </is>
      </c>
      <c r="BL208" s="202" t="inlineStr">
        <is>
          <t>Early Stage VC</t>
        </is>
      </c>
      <c r="BM208" s="203" t="inlineStr">
        <is>
          <t>Series A</t>
        </is>
      </c>
      <c r="BN208" s="204" t="inlineStr">
        <is>
          <t/>
        </is>
      </c>
      <c r="BO208" s="205" t="inlineStr">
        <is>
          <t>Venture Capital</t>
        </is>
      </c>
      <c r="BP208" s="206" t="inlineStr">
        <is>
          <t/>
        </is>
      </c>
      <c r="BQ208" s="207" t="inlineStr">
        <is>
          <t/>
        </is>
      </c>
      <c r="BR208" s="208" t="inlineStr">
        <is>
          <t/>
        </is>
      </c>
      <c r="BS208" s="209" t="inlineStr">
        <is>
          <t>Completed</t>
        </is>
      </c>
      <c r="BT208" s="210" t="n">
        <v>43025.0</v>
      </c>
      <c r="BU208" s="211" t="n">
        <v>10.0</v>
      </c>
      <c r="BV208" s="212" t="inlineStr">
        <is>
          <t>Actual</t>
        </is>
      </c>
      <c r="BW208" s="213" t="inlineStr">
        <is>
          <t/>
        </is>
      </c>
      <c r="BX208" s="214" t="inlineStr">
        <is>
          <t/>
        </is>
      </c>
      <c r="BY208" s="215" t="inlineStr">
        <is>
          <t>Early Stage VC</t>
        </is>
      </c>
      <c r="BZ208" s="216" t="inlineStr">
        <is>
          <t>Series A</t>
        </is>
      </c>
      <c r="CA208" s="217" t="inlineStr">
        <is>
          <t/>
        </is>
      </c>
      <c r="CB208" s="218" t="inlineStr">
        <is>
          <t>Venture Capital</t>
        </is>
      </c>
      <c r="CC208" s="219" t="inlineStr">
        <is>
          <t/>
        </is>
      </c>
      <c r="CD208" s="220" t="inlineStr">
        <is>
          <t/>
        </is>
      </c>
      <c r="CE208" s="221" t="inlineStr">
        <is>
          <t/>
        </is>
      </c>
      <c r="CF208" s="222" t="inlineStr">
        <is>
          <t>Completed</t>
        </is>
      </c>
      <c r="CG208" s="223" t="inlineStr">
        <is>
          <t>1,61%</t>
        </is>
      </c>
      <c r="CH208" s="224" t="inlineStr">
        <is>
          <t>97</t>
        </is>
      </c>
      <c r="CI208" s="225" t="inlineStr">
        <is>
          <t>-0,80%</t>
        </is>
      </c>
      <c r="CJ208" s="226" t="inlineStr">
        <is>
          <t>-33,25%</t>
        </is>
      </c>
      <c r="CK208" s="227" t="inlineStr">
        <is>
          <t/>
        </is>
      </c>
      <c r="CL208" s="228" t="inlineStr">
        <is>
          <t/>
        </is>
      </c>
      <c r="CM208" s="229" t="inlineStr">
        <is>
          <t>0,81%</t>
        </is>
      </c>
      <c r="CN208" s="230" t="inlineStr">
        <is>
          <t>94</t>
        </is>
      </c>
      <c r="CO208" s="231" t="inlineStr">
        <is>
          <t/>
        </is>
      </c>
      <c r="CP208" s="232" t="inlineStr">
        <is>
          <t/>
        </is>
      </c>
      <c r="CQ208" s="233" t="inlineStr">
        <is>
          <t/>
        </is>
      </c>
      <c r="CR208" s="234" t="inlineStr">
        <is>
          <t/>
        </is>
      </c>
      <c r="CS208" s="235" t="inlineStr">
        <is>
          <t/>
        </is>
      </c>
      <c r="CT208" s="236" t="inlineStr">
        <is>
          <t/>
        </is>
      </c>
      <c r="CU208" s="237" t="inlineStr">
        <is>
          <t>0,81%</t>
        </is>
      </c>
      <c r="CV208" s="238" t="inlineStr">
        <is>
          <t>95</t>
        </is>
      </c>
      <c r="CW208" s="239" t="inlineStr">
        <is>
          <t>1,82x</t>
        </is>
      </c>
      <c r="CX208" s="240" t="inlineStr">
        <is>
          <t>63</t>
        </is>
      </c>
      <c r="CY208" s="241" t="inlineStr">
        <is>
          <t>1,37x</t>
        </is>
      </c>
      <c r="CZ208" s="242" t="inlineStr">
        <is>
          <t>299,95%</t>
        </is>
      </c>
      <c r="DA208" s="243" t="inlineStr">
        <is>
          <t/>
        </is>
      </c>
      <c r="DB208" s="244" t="inlineStr">
        <is>
          <t/>
        </is>
      </c>
      <c r="DC208" s="245" t="inlineStr">
        <is>
          <t>3,19x</t>
        </is>
      </c>
      <c r="DD208" s="246" t="inlineStr">
        <is>
          <t>70</t>
        </is>
      </c>
      <c r="DE208" s="247" t="inlineStr">
        <is>
          <t/>
        </is>
      </c>
      <c r="DF208" s="248" t="inlineStr">
        <is>
          <t/>
        </is>
      </c>
      <c r="DG208" s="249" t="inlineStr">
        <is>
          <t/>
        </is>
      </c>
      <c r="DH208" s="250" t="inlineStr">
        <is>
          <t/>
        </is>
      </c>
      <c r="DI208" s="251" t="inlineStr">
        <is>
          <t/>
        </is>
      </c>
      <c r="DJ208" s="252" t="inlineStr">
        <is>
          <t/>
        </is>
      </c>
      <c r="DK208" s="253" t="inlineStr">
        <is>
          <t>3,19x</t>
        </is>
      </c>
      <c r="DL208" s="254" t="inlineStr">
        <is>
          <t>72</t>
        </is>
      </c>
      <c r="DM208" s="255" t="inlineStr">
        <is>
          <t/>
        </is>
      </c>
      <c r="DN208" s="256" t="inlineStr">
        <is>
          <t/>
        </is>
      </c>
      <c r="DO208" s="257" t="inlineStr">
        <is>
          <t/>
        </is>
      </c>
      <c r="DP208" s="258" t="inlineStr">
        <is>
          <t/>
        </is>
      </c>
      <c r="DQ208" s="259" t="inlineStr">
        <is>
          <t/>
        </is>
      </c>
      <c r="DR208" s="260" t="inlineStr">
        <is>
          <t/>
        </is>
      </c>
      <c r="DS208" s="261" t="inlineStr">
        <is>
          <t>20</t>
        </is>
      </c>
      <c r="DT208" s="262" t="inlineStr">
        <is>
          <t>5</t>
        </is>
      </c>
      <c r="DU208" s="263" t="inlineStr">
        <is>
          <t>33,33%</t>
        </is>
      </c>
      <c r="DV208" s="264" t="inlineStr">
        <is>
          <t>1.192</t>
        </is>
      </c>
      <c r="DW208" s="265" t="inlineStr">
        <is>
          <t>2</t>
        </is>
      </c>
      <c r="DX208" s="266" t="inlineStr">
        <is>
          <t>0,17%</t>
        </is>
      </c>
      <c r="DY208" s="267" t="inlineStr">
        <is>
          <t>PitchBook Research</t>
        </is>
      </c>
      <c r="DZ208" s="786">
        <f>HYPERLINK("https://my.pitchbook.com?c=221467-96", "View company online")</f>
      </c>
    </row>
    <row r="209">
      <c r="A209" s="9" t="inlineStr">
        <is>
          <t>169820-56</t>
        </is>
      </c>
      <c r="B209" s="10" t="inlineStr">
        <is>
          <t>Neufund</t>
        </is>
      </c>
      <c r="C209" s="11" t="inlineStr">
        <is>
          <t/>
        </is>
      </c>
      <c r="D209" s="12" t="inlineStr">
        <is>
          <t/>
        </is>
      </c>
      <c r="E209" s="13" t="inlineStr">
        <is>
          <t>169820-56</t>
        </is>
      </c>
      <c r="F209" s="14" t="inlineStr">
        <is>
          <t>Operator of an open platform for investors to take startup equity in the form of tradable crypto tokens created to bridge the world of cryptocurrency, Private Equity and Venture capital. The company's open venture capital fund is a blockchain-based and investor-directed platform combining cryptocurrency and equity to allow the creation of a new type of ownership that is neither money nor stock, but crypto tokens which represent equity and at the same time are as liquid as a currency for early stage investors to increase the speed of capital flow and diversity of tech innovation funding and reduce transaction costs for investing.</t>
        </is>
      </c>
      <c r="G209" s="15" t="inlineStr">
        <is>
          <t>Information Technology</t>
        </is>
      </c>
      <c r="H209" s="16" t="inlineStr">
        <is>
          <t>Software</t>
        </is>
      </c>
      <c r="I209" s="17" t="inlineStr">
        <is>
          <t>Financial Software</t>
        </is>
      </c>
      <c r="J209" s="18" t="inlineStr">
        <is>
          <t>Financial Software*; Specialized Finance</t>
        </is>
      </c>
      <c r="K209" s="19" t="inlineStr">
        <is>
          <t>Cryptocurrency/Blockchain, FinTech</t>
        </is>
      </c>
      <c r="L209" s="20" t="inlineStr">
        <is>
          <t>Venture Capital-Backed</t>
        </is>
      </c>
      <c r="M209" s="21" t="n">
        <v>10.0</v>
      </c>
      <c r="N209" s="22" t="inlineStr">
        <is>
          <t>Startup</t>
        </is>
      </c>
      <c r="O209" s="23" t="inlineStr">
        <is>
          <t>Privately Held (backing)</t>
        </is>
      </c>
      <c r="P209" s="24" t="inlineStr">
        <is>
          <t>Venture Capital</t>
        </is>
      </c>
      <c r="Q209" s="25" t="inlineStr">
        <is>
          <t>www.neufund.org</t>
        </is>
      </c>
      <c r="R209" s="26" t="n">
        <v>15.0</v>
      </c>
      <c r="S209" s="27" t="inlineStr">
        <is>
          <t/>
        </is>
      </c>
      <c r="T209" s="28" t="inlineStr">
        <is>
          <t/>
        </is>
      </c>
      <c r="U209" s="29" t="n">
        <v>2016.0</v>
      </c>
      <c r="V209" s="30" t="inlineStr">
        <is>
          <t/>
        </is>
      </c>
      <c r="W209" s="31" t="inlineStr">
        <is>
          <t/>
        </is>
      </c>
      <c r="X209" s="32" t="inlineStr">
        <is>
          <t/>
        </is>
      </c>
      <c r="Y209" s="33" t="inlineStr">
        <is>
          <t/>
        </is>
      </c>
      <c r="Z209" s="34" t="inlineStr">
        <is>
          <t/>
        </is>
      </c>
      <c r="AA209" s="35" t="inlineStr">
        <is>
          <t/>
        </is>
      </c>
      <c r="AB209" s="36" t="inlineStr">
        <is>
          <t/>
        </is>
      </c>
      <c r="AC209" s="37" t="inlineStr">
        <is>
          <t/>
        </is>
      </c>
      <c r="AD209" s="38" t="inlineStr">
        <is>
          <t/>
        </is>
      </c>
      <c r="AE209" s="39" t="inlineStr">
        <is>
          <t>70286-41P</t>
        </is>
      </c>
      <c r="AF209" s="40" t="inlineStr">
        <is>
          <t>Zoe Adamovicz</t>
        </is>
      </c>
      <c r="AG209" s="41" t="inlineStr">
        <is>
          <t>Chief Executive Officer &amp; Co-Founder</t>
        </is>
      </c>
      <c r="AH209" s="42" t="inlineStr">
        <is>
          <t>zoe@neufund.org</t>
        </is>
      </c>
      <c r="AI209" s="43" t="inlineStr">
        <is>
          <t>+49 (0)17 0350 7819</t>
        </is>
      </c>
      <c r="AJ209" s="44" t="inlineStr">
        <is>
          <t>Berlin, Germany</t>
        </is>
      </c>
      <c r="AK209" s="45" t="inlineStr">
        <is>
          <t>Cuvrystr. 4</t>
        </is>
      </c>
      <c r="AL209" s="46" t="inlineStr">
        <is>
          <t>4th floor</t>
        </is>
      </c>
      <c r="AM209" s="47" t="inlineStr">
        <is>
          <t>Berlin</t>
        </is>
      </c>
      <c r="AN209" s="48" t="inlineStr">
        <is>
          <t/>
        </is>
      </c>
      <c r="AO209" s="49" t="inlineStr">
        <is>
          <t>10997</t>
        </is>
      </c>
      <c r="AP209" s="50" t="inlineStr">
        <is>
          <t>Germany</t>
        </is>
      </c>
      <c r="AQ209" s="51" t="inlineStr">
        <is>
          <t>+49 (0)17 0350 7819</t>
        </is>
      </c>
      <c r="AR209" s="52" t="inlineStr">
        <is>
          <t/>
        </is>
      </c>
      <c r="AS209" s="53" t="inlineStr">
        <is>
          <t>hello@neufund.org</t>
        </is>
      </c>
      <c r="AT209" s="54" t="inlineStr">
        <is>
          <t>Europe</t>
        </is>
      </c>
      <c r="AU209" s="55" t="inlineStr">
        <is>
          <t>Western Europe</t>
        </is>
      </c>
      <c r="AV209" s="56" t="inlineStr">
        <is>
          <t>The company raised EUR 10 million of seed funding from Atlantic Labs, Klaas Kersting and Philipp Freise on November 9, 2017. Michael Jackson, Max Kordek and Fabian Vogelsteller also participated in the round. The funds will be used to build the platform and launch its Initial Capital Building Mechanism (ICBM).</t>
        </is>
      </c>
      <c r="AW209" s="57" t="inlineStr">
        <is>
          <t>Atlantic Labs, Fabian Vogelsteller, Klaas Kersting, Max Kordek, Michael Jackson, Philipp Freise</t>
        </is>
      </c>
      <c r="AX209" s="58" t="n">
        <v>6.0</v>
      </c>
      <c r="AY209" s="59" t="inlineStr">
        <is>
          <t/>
        </is>
      </c>
      <c r="AZ209" s="60" t="inlineStr">
        <is>
          <t/>
        </is>
      </c>
      <c r="BA209" s="61" t="inlineStr">
        <is>
          <t/>
        </is>
      </c>
      <c r="BB209" s="62" t="inlineStr">
        <is>
          <t>Atlantic Labs (www.atlanticlabs.de)</t>
        </is>
      </c>
      <c r="BC209" s="63" t="inlineStr">
        <is>
          <t/>
        </is>
      </c>
      <c r="BD209" s="64" t="inlineStr">
        <is>
          <t/>
        </is>
      </c>
      <c r="BE209" s="65" t="inlineStr">
        <is>
          <t/>
        </is>
      </c>
      <c r="BF209" s="66" t="inlineStr">
        <is>
          <t/>
        </is>
      </c>
      <c r="BG209" s="67" t="n">
        <v>43048.0</v>
      </c>
      <c r="BH209" s="68" t="n">
        <v>10.0</v>
      </c>
      <c r="BI209" s="69" t="inlineStr">
        <is>
          <t>Actual</t>
        </is>
      </c>
      <c r="BJ209" s="70" t="inlineStr">
        <is>
          <t/>
        </is>
      </c>
      <c r="BK209" s="71" t="inlineStr">
        <is>
          <t/>
        </is>
      </c>
      <c r="BL209" s="72" t="inlineStr">
        <is>
          <t>Seed Round</t>
        </is>
      </c>
      <c r="BM209" s="73" t="inlineStr">
        <is>
          <t>Seed</t>
        </is>
      </c>
      <c r="BN209" s="74" t="inlineStr">
        <is>
          <t/>
        </is>
      </c>
      <c r="BO209" s="75" t="inlineStr">
        <is>
          <t>Venture Capital</t>
        </is>
      </c>
      <c r="BP209" s="76" t="inlineStr">
        <is>
          <t/>
        </is>
      </c>
      <c r="BQ209" s="77" t="inlineStr">
        <is>
          <t/>
        </is>
      </c>
      <c r="BR209" s="78" t="inlineStr">
        <is>
          <t/>
        </is>
      </c>
      <c r="BS209" s="79" t="inlineStr">
        <is>
          <t>Completed</t>
        </is>
      </c>
      <c r="BT209" s="80" t="n">
        <v>43048.0</v>
      </c>
      <c r="BU209" s="81" t="n">
        <v>10.0</v>
      </c>
      <c r="BV209" s="82" t="inlineStr">
        <is>
          <t>Actual</t>
        </is>
      </c>
      <c r="BW209" s="83" t="inlineStr">
        <is>
          <t/>
        </is>
      </c>
      <c r="BX209" s="84" t="inlineStr">
        <is>
          <t/>
        </is>
      </c>
      <c r="BY209" s="85" t="inlineStr">
        <is>
          <t>Seed Round</t>
        </is>
      </c>
      <c r="BZ209" s="86" t="inlineStr">
        <is>
          <t>Seed</t>
        </is>
      </c>
      <c r="CA209" s="87" t="inlineStr">
        <is>
          <t/>
        </is>
      </c>
      <c r="CB209" s="88" t="inlineStr">
        <is>
          <t>Venture Capital</t>
        </is>
      </c>
      <c r="CC209" s="89" t="inlineStr">
        <is>
          <t/>
        </is>
      </c>
      <c r="CD209" s="90" t="inlineStr">
        <is>
          <t/>
        </is>
      </c>
      <c r="CE209" s="91" t="inlineStr">
        <is>
          <t/>
        </is>
      </c>
      <c r="CF209" s="92" t="inlineStr">
        <is>
          <t>Completed</t>
        </is>
      </c>
      <c r="CG209" s="93" t="inlineStr">
        <is>
          <t>-1,39%</t>
        </is>
      </c>
      <c r="CH209" s="94" t="inlineStr">
        <is>
          <t>12</t>
        </is>
      </c>
      <c r="CI209" s="95" t="inlineStr">
        <is>
          <t>0,84%</t>
        </is>
      </c>
      <c r="CJ209" s="96" t="inlineStr">
        <is>
          <t>37,67%</t>
        </is>
      </c>
      <c r="CK209" s="97" t="inlineStr">
        <is>
          <t>-9,56%</t>
        </is>
      </c>
      <c r="CL209" s="98" t="inlineStr">
        <is>
          <t>4</t>
        </is>
      </c>
      <c r="CM209" s="99" t="inlineStr">
        <is>
          <t>6,78%</t>
        </is>
      </c>
      <c r="CN209" s="100" t="inlineStr">
        <is>
          <t>100</t>
        </is>
      </c>
      <c r="CO209" s="101" t="inlineStr">
        <is>
          <t>-9,56%</t>
        </is>
      </c>
      <c r="CP209" s="102" t="inlineStr">
        <is>
          <t>13</t>
        </is>
      </c>
      <c r="CQ209" s="103" t="inlineStr">
        <is>
          <t/>
        </is>
      </c>
      <c r="CR209" s="104" t="inlineStr">
        <is>
          <t/>
        </is>
      </c>
      <c r="CS209" s="105" t="inlineStr">
        <is>
          <t>6,73%</t>
        </is>
      </c>
      <c r="CT209" s="106" t="inlineStr">
        <is>
          <t>100</t>
        </is>
      </c>
      <c r="CU209" s="107" t="inlineStr">
        <is>
          <t>6,84%</t>
        </is>
      </c>
      <c r="CV209" s="108" t="inlineStr">
        <is>
          <t>100</t>
        </is>
      </c>
      <c r="CW209" s="109" t="inlineStr">
        <is>
          <t>2,01x</t>
        </is>
      </c>
      <c r="CX209" s="110" t="inlineStr">
        <is>
          <t>65</t>
        </is>
      </c>
      <c r="CY209" s="111" t="inlineStr">
        <is>
          <t>0,09x</t>
        </is>
      </c>
      <c r="CZ209" s="112" t="inlineStr">
        <is>
          <t>4,83%</t>
        </is>
      </c>
      <c r="DA209" s="113" t="inlineStr">
        <is>
          <t>1,45x</t>
        </is>
      </c>
      <c r="DB209" s="114" t="inlineStr">
        <is>
          <t>60</t>
        </is>
      </c>
      <c r="DC209" s="115" t="inlineStr">
        <is>
          <t>2,56x</t>
        </is>
      </c>
      <c r="DD209" s="116" t="inlineStr">
        <is>
          <t>66</t>
        </is>
      </c>
      <c r="DE209" s="117" t="inlineStr">
        <is>
          <t>1,45x</t>
        </is>
      </c>
      <c r="DF209" s="118" t="inlineStr">
        <is>
          <t>59</t>
        </is>
      </c>
      <c r="DG209" s="119" t="inlineStr">
        <is>
          <t/>
        </is>
      </c>
      <c r="DH209" s="120" t="inlineStr">
        <is>
          <t/>
        </is>
      </c>
      <c r="DI209" s="121" t="inlineStr">
        <is>
          <t>1,87x</t>
        </is>
      </c>
      <c r="DJ209" s="122" t="inlineStr">
        <is>
          <t>61</t>
        </is>
      </c>
      <c r="DK209" s="123" t="inlineStr">
        <is>
          <t>3,25x</t>
        </is>
      </c>
      <c r="DL209" s="124" t="inlineStr">
        <is>
          <t>72</t>
        </is>
      </c>
      <c r="DM209" s="125" t="inlineStr">
        <is>
          <t>526</t>
        </is>
      </c>
      <c r="DN209" s="126" t="inlineStr">
        <is>
          <t>64</t>
        </is>
      </c>
      <c r="DO209" s="127" t="inlineStr">
        <is>
          <t>13,85%</t>
        </is>
      </c>
      <c r="DP209" s="128" t="inlineStr">
        <is>
          <t>1.442</t>
        </is>
      </c>
      <c r="DQ209" s="129" t="inlineStr">
        <is>
          <t>237</t>
        </is>
      </c>
      <c r="DR209" s="130" t="inlineStr">
        <is>
          <t>19,67%</t>
        </is>
      </c>
      <c r="DS209" s="131" t="inlineStr">
        <is>
          <t/>
        </is>
      </c>
      <c r="DT209" s="132" t="inlineStr">
        <is>
          <t/>
        </is>
      </c>
      <c r="DU209" s="133" t="inlineStr">
        <is>
          <t/>
        </is>
      </c>
      <c r="DV209" s="134" t="inlineStr">
        <is>
          <t>1.189</t>
        </is>
      </c>
      <c r="DW209" s="135" t="inlineStr">
        <is>
          <t>128</t>
        </is>
      </c>
      <c r="DX209" s="136" t="inlineStr">
        <is>
          <t>12,06%</t>
        </is>
      </c>
      <c r="DY209" s="137" t="inlineStr">
        <is>
          <t>PitchBook Research</t>
        </is>
      </c>
      <c r="DZ209" s="785">
        <f>HYPERLINK("https://my.pitchbook.com?c=169820-56", "View company online")</f>
      </c>
    </row>
    <row r="210">
      <c r="A210" s="139" t="inlineStr">
        <is>
          <t>187704-82</t>
        </is>
      </c>
      <c r="B210" s="140" t="inlineStr">
        <is>
          <t>Sphere Knowledge</t>
        </is>
      </c>
      <c r="C210" s="141" t="inlineStr">
        <is>
          <t/>
        </is>
      </c>
      <c r="D210" s="142" t="inlineStr">
        <is>
          <t/>
        </is>
      </c>
      <c r="E210" s="143" t="inlineStr">
        <is>
          <t>187704-82</t>
        </is>
      </c>
      <c r="F210" s="144" t="inlineStr">
        <is>
          <t>Provider of an instant messing platform. The company's instant messing platform connect people asking questions with various domain experts, on subjects ranging from travel, entertainment, business to tutoring, enabling users to find and instantly chat with an expert on a range of topics.</t>
        </is>
      </c>
      <c r="G210" s="145" t="inlineStr">
        <is>
          <t>Information Technology</t>
        </is>
      </c>
      <c r="H210" s="146" t="inlineStr">
        <is>
          <t>Software</t>
        </is>
      </c>
      <c r="I210" s="147" t="inlineStr">
        <is>
          <t>Communication Software</t>
        </is>
      </c>
      <c r="J210" s="148" t="inlineStr">
        <is>
          <t>Communication Software*</t>
        </is>
      </c>
      <c r="K210" s="149" t="inlineStr">
        <is>
          <t>Mobile</t>
        </is>
      </c>
      <c r="L210" s="150" t="inlineStr">
        <is>
          <t>Venture Capital-Backed</t>
        </is>
      </c>
      <c r="M210" s="151" t="n">
        <v>10.04</v>
      </c>
      <c r="N210" s="152" t="inlineStr">
        <is>
          <t>Stealth</t>
        </is>
      </c>
      <c r="O210" s="153" t="inlineStr">
        <is>
          <t>Privately Held (backing)</t>
        </is>
      </c>
      <c r="P210" s="154" t="inlineStr">
        <is>
          <t>Venture Capital</t>
        </is>
      </c>
      <c r="Q210" s="155" t="inlineStr">
        <is>
          <t>www.heysphere.com</t>
        </is>
      </c>
      <c r="R210" s="156" t="inlineStr">
        <is>
          <t/>
        </is>
      </c>
      <c r="S210" s="157" t="inlineStr">
        <is>
          <t/>
        </is>
      </c>
      <c r="T210" s="158" t="inlineStr">
        <is>
          <t/>
        </is>
      </c>
      <c r="U210" s="159" t="n">
        <v>2015.0</v>
      </c>
      <c r="V210" s="160" t="inlineStr">
        <is>
          <t/>
        </is>
      </c>
      <c r="W210" s="161" t="inlineStr">
        <is>
          <t/>
        </is>
      </c>
      <c r="X210" s="162" t="inlineStr">
        <is>
          <t/>
        </is>
      </c>
      <c r="Y210" s="163" t="inlineStr">
        <is>
          <t/>
        </is>
      </c>
      <c r="Z210" s="164" t="inlineStr">
        <is>
          <t/>
        </is>
      </c>
      <c r="AA210" s="165" t="inlineStr">
        <is>
          <t/>
        </is>
      </c>
      <c r="AB210" s="166" t="inlineStr">
        <is>
          <t/>
        </is>
      </c>
      <c r="AC210" s="167" t="inlineStr">
        <is>
          <t/>
        </is>
      </c>
      <c r="AD210" s="168" t="inlineStr">
        <is>
          <t/>
        </is>
      </c>
      <c r="AE210" s="169" t="inlineStr">
        <is>
          <t>172005-67P</t>
        </is>
      </c>
      <c r="AF210" s="170" t="inlineStr">
        <is>
          <t>Nicholas D'Aloisio-Montilla</t>
        </is>
      </c>
      <c r="AG210" s="171" t="inlineStr">
        <is>
          <t>Co-Founder</t>
        </is>
      </c>
      <c r="AH210" s="172" t="inlineStr">
        <is>
          <t>nick@heysphere.com</t>
        </is>
      </c>
      <c r="AI210" s="173" t="inlineStr">
        <is>
          <t/>
        </is>
      </c>
      <c r="AJ210" s="174" t="inlineStr">
        <is>
          <t>London, United Kingdom</t>
        </is>
      </c>
      <c r="AK210" s="175" t="inlineStr">
        <is>
          <t>5 Southampton Place</t>
        </is>
      </c>
      <c r="AL210" s="176" t="inlineStr">
        <is>
          <t/>
        </is>
      </c>
      <c r="AM210" s="177" t="inlineStr">
        <is>
          <t>London</t>
        </is>
      </c>
      <c r="AN210" s="178" t="inlineStr">
        <is>
          <t>England</t>
        </is>
      </c>
      <c r="AO210" s="179" t="inlineStr">
        <is>
          <t>WC1A 2DA</t>
        </is>
      </c>
      <c r="AP210" s="180" t="inlineStr">
        <is>
          <t>United Kingdom</t>
        </is>
      </c>
      <c r="AQ210" s="181" t="inlineStr">
        <is>
          <t/>
        </is>
      </c>
      <c r="AR210" s="182" t="inlineStr">
        <is>
          <t/>
        </is>
      </c>
      <c r="AS210" s="183" t="inlineStr">
        <is>
          <t/>
        </is>
      </c>
      <c r="AT210" s="184" t="inlineStr">
        <is>
          <t>Europe</t>
        </is>
      </c>
      <c r="AU210" s="185" t="inlineStr">
        <is>
          <t>Western Europe</t>
        </is>
      </c>
      <c r="AV210" s="186" t="inlineStr">
        <is>
          <t>The company raised $11.8 million in a combination Seed and Series A venture funding from Index Ventures and LocalGlobe on October 5, 2017, putting the pre-money valuation at $17.17 million.</t>
        </is>
      </c>
      <c r="AW210" s="187" t="inlineStr">
        <is>
          <t>Index Ventures (UK), LocalGlobe</t>
        </is>
      </c>
      <c r="AX210" s="188" t="n">
        <v>2.0</v>
      </c>
      <c r="AY210" s="189" t="inlineStr">
        <is>
          <t/>
        </is>
      </c>
      <c r="AZ210" s="190" t="inlineStr">
        <is>
          <t/>
        </is>
      </c>
      <c r="BA210" s="191" t="inlineStr">
        <is>
          <t/>
        </is>
      </c>
      <c r="BB210" s="192" t="inlineStr">
        <is>
          <t>Index Ventures (UK) (www.indexventures.com), LocalGlobe (www.localglobe.vc)</t>
        </is>
      </c>
      <c r="BC210" s="193" t="inlineStr">
        <is>
          <t/>
        </is>
      </c>
      <c r="BD210" s="194" t="inlineStr">
        <is>
          <t/>
        </is>
      </c>
      <c r="BE210" s="195" t="inlineStr">
        <is>
          <t/>
        </is>
      </c>
      <c r="BF210" s="196" t="inlineStr">
        <is>
          <t/>
        </is>
      </c>
      <c r="BG210" s="197" t="n">
        <v>43013.0</v>
      </c>
      <c r="BH210" s="198" t="n">
        <v>10.04</v>
      </c>
      <c r="BI210" s="199" t="inlineStr">
        <is>
          <t>Actual</t>
        </is>
      </c>
      <c r="BJ210" s="200" t="n">
        <v>24.64</v>
      </c>
      <c r="BK210" s="201" t="inlineStr">
        <is>
          <t>Actual</t>
        </is>
      </c>
      <c r="BL210" s="202" t="inlineStr">
        <is>
          <t>Early Stage VC</t>
        </is>
      </c>
      <c r="BM210" s="203" t="inlineStr">
        <is>
          <t>Series A</t>
        </is>
      </c>
      <c r="BN210" s="204" t="inlineStr">
        <is>
          <t/>
        </is>
      </c>
      <c r="BO210" s="205" t="inlineStr">
        <is>
          <t>Venture Capital</t>
        </is>
      </c>
      <c r="BP210" s="206" t="inlineStr">
        <is>
          <t/>
        </is>
      </c>
      <c r="BQ210" s="207" t="inlineStr">
        <is>
          <t/>
        </is>
      </c>
      <c r="BR210" s="208" t="inlineStr">
        <is>
          <t/>
        </is>
      </c>
      <c r="BS210" s="209" t="inlineStr">
        <is>
          <t>Completed</t>
        </is>
      </c>
      <c r="BT210" s="210" t="n">
        <v>43013.0</v>
      </c>
      <c r="BU210" s="211" t="n">
        <v>10.04</v>
      </c>
      <c r="BV210" s="212" t="inlineStr">
        <is>
          <t>Actual</t>
        </is>
      </c>
      <c r="BW210" s="213" t="n">
        <v>24.64</v>
      </c>
      <c r="BX210" s="214" t="inlineStr">
        <is>
          <t>Actual</t>
        </is>
      </c>
      <c r="BY210" s="215" t="inlineStr">
        <is>
          <t>Early Stage VC</t>
        </is>
      </c>
      <c r="BZ210" s="216" t="inlineStr">
        <is>
          <t>Series A</t>
        </is>
      </c>
      <c r="CA210" s="217" t="inlineStr">
        <is>
          <t/>
        </is>
      </c>
      <c r="CB210" s="218" t="inlineStr">
        <is>
          <t>Venture Capital</t>
        </is>
      </c>
      <c r="CC210" s="219" t="inlineStr">
        <is>
          <t/>
        </is>
      </c>
      <c r="CD210" s="220" t="inlineStr">
        <is>
          <t/>
        </is>
      </c>
      <c r="CE210" s="221" t="inlineStr">
        <is>
          <t/>
        </is>
      </c>
      <c r="CF210" s="222" t="inlineStr">
        <is>
          <t>Completed</t>
        </is>
      </c>
      <c r="CG210" s="223" t="inlineStr">
        <is>
          <t/>
        </is>
      </c>
      <c r="CH210" s="224" t="inlineStr">
        <is>
          <t/>
        </is>
      </c>
      <c r="CI210" s="225" t="inlineStr">
        <is>
          <t/>
        </is>
      </c>
      <c r="CJ210" s="226" t="inlineStr">
        <is>
          <t/>
        </is>
      </c>
      <c r="CK210" s="227" t="inlineStr">
        <is>
          <t/>
        </is>
      </c>
      <c r="CL210" s="228" t="inlineStr">
        <is>
          <t/>
        </is>
      </c>
      <c r="CM210" s="229" t="inlineStr">
        <is>
          <t/>
        </is>
      </c>
      <c r="CN210" s="230" t="inlineStr">
        <is>
          <t/>
        </is>
      </c>
      <c r="CO210" s="231" t="inlineStr">
        <is>
          <t/>
        </is>
      </c>
      <c r="CP210" s="232" t="inlineStr">
        <is>
          <t/>
        </is>
      </c>
      <c r="CQ210" s="233" t="inlineStr">
        <is>
          <t/>
        </is>
      </c>
      <c r="CR210" s="234" t="inlineStr">
        <is>
          <t/>
        </is>
      </c>
      <c r="CS210" s="235" t="inlineStr">
        <is>
          <t/>
        </is>
      </c>
      <c r="CT210" s="236" t="inlineStr">
        <is>
          <t/>
        </is>
      </c>
      <c r="CU210" s="237" t="inlineStr">
        <is>
          <t/>
        </is>
      </c>
      <c r="CV210" s="238" t="inlineStr">
        <is>
          <t/>
        </is>
      </c>
      <c r="CW210" s="239" t="inlineStr">
        <is>
          <t/>
        </is>
      </c>
      <c r="CX210" s="240" t="inlineStr">
        <is>
          <t/>
        </is>
      </c>
      <c r="CY210" s="241" t="inlineStr">
        <is>
          <t/>
        </is>
      </c>
      <c r="CZ210" s="242" t="inlineStr">
        <is>
          <t/>
        </is>
      </c>
      <c r="DA210" s="243" t="inlineStr">
        <is>
          <t/>
        </is>
      </c>
      <c r="DB210" s="244" t="inlineStr">
        <is>
          <t/>
        </is>
      </c>
      <c r="DC210" s="245" t="inlineStr">
        <is>
          <t/>
        </is>
      </c>
      <c r="DD210" s="246" t="inlineStr">
        <is>
          <t/>
        </is>
      </c>
      <c r="DE210" s="247" t="inlineStr">
        <is>
          <t/>
        </is>
      </c>
      <c r="DF210" s="248" t="inlineStr">
        <is>
          <t/>
        </is>
      </c>
      <c r="DG210" s="249" t="inlineStr">
        <is>
          <t/>
        </is>
      </c>
      <c r="DH210" s="250" t="inlineStr">
        <is>
          <t/>
        </is>
      </c>
      <c r="DI210" s="251" t="inlineStr">
        <is>
          <t/>
        </is>
      </c>
      <c r="DJ210" s="252" t="inlineStr">
        <is>
          <t/>
        </is>
      </c>
      <c r="DK210" s="253" t="inlineStr">
        <is>
          <t/>
        </is>
      </c>
      <c r="DL210" s="254" t="inlineStr">
        <is>
          <t/>
        </is>
      </c>
      <c r="DM210" s="255" t="inlineStr">
        <is>
          <t/>
        </is>
      </c>
      <c r="DN210" s="256" t="inlineStr">
        <is>
          <t/>
        </is>
      </c>
      <c r="DO210" s="257" t="inlineStr">
        <is>
          <t/>
        </is>
      </c>
      <c r="DP210" s="258" t="inlineStr">
        <is>
          <t/>
        </is>
      </c>
      <c r="DQ210" s="259" t="inlineStr">
        <is>
          <t/>
        </is>
      </c>
      <c r="DR210" s="260" t="inlineStr">
        <is>
          <t/>
        </is>
      </c>
      <c r="DS210" s="261" t="inlineStr">
        <is>
          <t/>
        </is>
      </c>
      <c r="DT210" s="262" t="inlineStr">
        <is>
          <t/>
        </is>
      </c>
      <c r="DU210" s="263" t="inlineStr">
        <is>
          <t/>
        </is>
      </c>
      <c r="DV210" s="264" t="inlineStr">
        <is>
          <t/>
        </is>
      </c>
      <c r="DW210" s="265" t="inlineStr">
        <is>
          <t/>
        </is>
      </c>
      <c r="DX210" s="266" t="inlineStr">
        <is>
          <t/>
        </is>
      </c>
      <c r="DY210" s="267" t="inlineStr">
        <is>
          <t>PitchBook Research</t>
        </is>
      </c>
      <c r="DZ210" s="786">
        <f>HYPERLINK("https://my.pitchbook.com?c=187704-82", "View company online")</f>
      </c>
    </row>
    <row r="211">
      <c r="A211" s="9" t="inlineStr">
        <is>
          <t>62117-38</t>
        </is>
      </c>
      <c r="B211" s="10" t="inlineStr">
        <is>
          <t>Ometria</t>
        </is>
      </c>
      <c r="C211" s="11" t="inlineStr">
        <is>
          <t/>
        </is>
      </c>
      <c r="D211" s="12" t="inlineStr">
        <is>
          <t/>
        </is>
      </c>
      <c r="E211" s="13" t="inlineStr">
        <is>
          <t>62117-38</t>
        </is>
      </c>
      <c r="F211" s="14" t="inlineStr">
        <is>
          <t>Developer of an AI-powered customer marking platform designed to simply personalized marketing. The company's marketing automation platform offers an automated software that uses Big Data technology and connects back end and online data e-commerce retailers about their products and customers including KPI tracking, customer lifetime value detailed product and category insights enabling retailers communicate with their customers in a personalized way.</t>
        </is>
      </c>
      <c r="G211" s="15" t="inlineStr">
        <is>
          <t>Business Products and Services (B2B)</t>
        </is>
      </c>
      <c r="H211" s="16" t="inlineStr">
        <is>
          <t>Commercial Services</t>
        </is>
      </c>
      <c r="I211" s="17" t="inlineStr">
        <is>
          <t>Media and Information Services (B2B)</t>
        </is>
      </c>
      <c r="J211" s="18" t="inlineStr">
        <is>
          <t>Media and Information Services (B2B)*; Business/Productivity Software</t>
        </is>
      </c>
      <c r="K211" s="19" t="inlineStr">
        <is>
          <t>Artificial Intelligence &amp; Machine Learning, Big Data, Marketing Tech, SaaS</t>
        </is>
      </c>
      <c r="L211" s="20" t="inlineStr">
        <is>
          <t>Venture Capital-Backed</t>
        </is>
      </c>
      <c r="M211" s="21" t="n">
        <v>10.11</v>
      </c>
      <c r="N211" s="22" t="inlineStr">
        <is>
          <t>Generating Revenue</t>
        </is>
      </c>
      <c r="O211" s="23" t="inlineStr">
        <is>
          <t>Privately Held (backing)</t>
        </is>
      </c>
      <c r="P211" s="24" t="inlineStr">
        <is>
          <t>Venture Capital</t>
        </is>
      </c>
      <c r="Q211" s="25" t="inlineStr">
        <is>
          <t>www.ometria.com</t>
        </is>
      </c>
      <c r="R211" s="26" t="n">
        <v>20.0</v>
      </c>
      <c r="S211" s="27" t="inlineStr">
        <is>
          <t/>
        </is>
      </c>
      <c r="T211" s="28" t="inlineStr">
        <is>
          <t/>
        </is>
      </c>
      <c r="U211" s="29" t="n">
        <v>2013.0</v>
      </c>
      <c r="V211" s="30" t="inlineStr">
        <is>
          <t/>
        </is>
      </c>
      <c r="W211" s="31" t="inlineStr">
        <is>
          <t/>
        </is>
      </c>
      <c r="X211" s="32" t="inlineStr">
        <is>
          <t/>
        </is>
      </c>
      <c r="Y211" s="33" t="inlineStr">
        <is>
          <t/>
        </is>
      </c>
      <c r="Z211" s="34" t="inlineStr">
        <is>
          <t/>
        </is>
      </c>
      <c r="AA211" s="35" t="inlineStr">
        <is>
          <t/>
        </is>
      </c>
      <c r="AB211" s="36" t="inlineStr">
        <is>
          <t/>
        </is>
      </c>
      <c r="AC211" s="37" t="inlineStr">
        <is>
          <t/>
        </is>
      </c>
      <c r="AD211" s="38" t="inlineStr">
        <is>
          <t>FY 2014</t>
        </is>
      </c>
      <c r="AE211" s="39" t="inlineStr">
        <is>
          <t>93007-99P</t>
        </is>
      </c>
      <c r="AF211" s="40" t="inlineStr">
        <is>
          <t>Djalal Lougouev</t>
        </is>
      </c>
      <c r="AG211" s="41" t="inlineStr">
        <is>
          <t>Chief Procurement Officer &amp; Board Member</t>
        </is>
      </c>
      <c r="AH211" s="42" t="inlineStr">
        <is>
          <t>djalal@ometria.com</t>
        </is>
      </c>
      <c r="AI211" s="43" t="inlineStr">
        <is>
          <t>+44 (0)20 7016 8383</t>
        </is>
      </c>
      <c r="AJ211" s="44" t="inlineStr">
        <is>
          <t>London, United Kingdom</t>
        </is>
      </c>
      <c r="AK211" s="45" t="inlineStr">
        <is>
          <t>38 Park Street</t>
        </is>
      </c>
      <c r="AL211" s="46" t="inlineStr">
        <is>
          <t/>
        </is>
      </c>
      <c r="AM211" s="47" t="inlineStr">
        <is>
          <t>London</t>
        </is>
      </c>
      <c r="AN211" s="48" t="inlineStr">
        <is>
          <t>England</t>
        </is>
      </c>
      <c r="AO211" s="49" t="inlineStr">
        <is>
          <t>W1K 2JF</t>
        </is>
      </c>
      <c r="AP211" s="50" t="inlineStr">
        <is>
          <t>United Kingdom</t>
        </is>
      </c>
      <c r="AQ211" s="51" t="inlineStr">
        <is>
          <t>+44 (0)20 7016 8383</t>
        </is>
      </c>
      <c r="AR211" s="52" t="inlineStr">
        <is>
          <t/>
        </is>
      </c>
      <c r="AS211" s="53" t="inlineStr">
        <is>
          <t>info@ometria.com</t>
        </is>
      </c>
      <c r="AT211" s="54" t="inlineStr">
        <is>
          <t>Europe</t>
        </is>
      </c>
      <c r="AU211" s="55" t="inlineStr">
        <is>
          <t>Western Europe</t>
        </is>
      </c>
      <c r="AV211" s="56" t="inlineStr">
        <is>
          <t>The company raised $6 million of Series A venture funding from Summit Action, Sonae Investment Management Software &amp; Technology and Samos Investments on September 26, 2017. Adjuvo, Sir George Buckley, Lance Batchelor, Alan Parker, Matt Cooper, SAATCHiNVEST and Force Over Mass Capital also participated in the round. The company which has raised $11 million in total funding to date, intends to use the funds to accelerate the development of their customer marketing platform.</t>
        </is>
      </c>
      <c r="AW211" s="57" t="inlineStr">
        <is>
          <t>Adjuvo, Alan Parker, Andy McLoughlin, Beacon Capital, Force Over Mass Capital, George Buckley, Guy Westlake, Innova Kapital, InVenture Partners, Kevin Chong, Lance Batchelor, Lee Hudson, Mobile Value Partners, Richard Fattal, SAATCHiNVEST, Samos Investments, Sonae Investment Management Software &amp; Technology, Summit Action, Timothy Jackson, Walking Ventures</t>
        </is>
      </c>
      <c r="AX211" s="58" t="n">
        <v>20.0</v>
      </c>
      <c r="AY211" s="59" t="inlineStr">
        <is>
          <t/>
        </is>
      </c>
      <c r="AZ211" s="60" t="inlineStr">
        <is>
          <t/>
        </is>
      </c>
      <c r="BA211" s="61" t="inlineStr">
        <is>
          <t/>
        </is>
      </c>
      <c r="BB211" s="62" t="inlineStr">
        <is>
          <t>Adjuvo (adjuvo.com), Andy McLoughlin (www.andymcloughlin.co), Beacon Capital (www.beaconcapital.co.uk), Force Over Mass Capital (www.fomcap.com), Innova Kapital (www.innovakapital.com), InVenture Partners (www.inventurepartners.com), Mobile Value Partners (www.mvpglobal.com), SAATCHiNVEST (www.saatchinvest.com), Samos Investments (www.samos.uk.com), Sonae Investment Management Software &amp; Technology (www.sonaeim.com), Summit Action (www.summitaction.com), Walking Ventures (www.walking.vc)</t>
        </is>
      </c>
      <c r="BC211" s="63" t="inlineStr">
        <is>
          <t/>
        </is>
      </c>
      <c r="BD211" s="64" t="inlineStr">
        <is>
          <t/>
        </is>
      </c>
      <c r="BE211" s="65" t="inlineStr">
        <is>
          <t>Upscale UK (Consulting), Harris &amp; Company Charted Accountants (Accounting), Orrick, Herrington &amp; Sutcliffe (Legal Advisor)</t>
        </is>
      </c>
      <c r="BF211" s="66" t="inlineStr">
        <is>
          <t/>
        </is>
      </c>
      <c r="BG211" s="67" t="n">
        <v>41306.0</v>
      </c>
      <c r="BH211" s="68" t="n">
        <v>0.41</v>
      </c>
      <c r="BI211" s="69" t="inlineStr">
        <is>
          <t>Actual</t>
        </is>
      </c>
      <c r="BJ211" s="70" t="n">
        <v>0.71</v>
      </c>
      <c r="BK211" s="71" t="inlineStr">
        <is>
          <t>Actual</t>
        </is>
      </c>
      <c r="BL211" s="72" t="inlineStr">
        <is>
          <t>Early Stage VC</t>
        </is>
      </c>
      <c r="BM211" s="73" t="inlineStr">
        <is>
          <t/>
        </is>
      </c>
      <c r="BN211" s="74" t="inlineStr">
        <is>
          <t/>
        </is>
      </c>
      <c r="BO211" s="75" t="inlineStr">
        <is>
          <t>Venture Capital</t>
        </is>
      </c>
      <c r="BP211" s="76" t="inlineStr">
        <is>
          <t/>
        </is>
      </c>
      <c r="BQ211" s="77" t="inlineStr">
        <is>
          <t/>
        </is>
      </c>
      <c r="BR211" s="78" t="inlineStr">
        <is>
          <t/>
        </is>
      </c>
      <c r="BS211" s="79" t="inlineStr">
        <is>
          <t>Completed</t>
        </is>
      </c>
      <c r="BT211" s="80" t="n">
        <v>43004.0</v>
      </c>
      <c r="BU211" s="81" t="n">
        <v>5.03</v>
      </c>
      <c r="BV211" s="82" t="inlineStr">
        <is>
          <t>Actual</t>
        </is>
      </c>
      <c r="BW211" s="83" t="inlineStr">
        <is>
          <t/>
        </is>
      </c>
      <c r="BX211" s="84" t="inlineStr">
        <is>
          <t/>
        </is>
      </c>
      <c r="BY211" s="85" t="inlineStr">
        <is>
          <t>Early Stage VC</t>
        </is>
      </c>
      <c r="BZ211" s="86" t="inlineStr">
        <is>
          <t>Series A</t>
        </is>
      </c>
      <c r="CA211" s="87" t="inlineStr">
        <is>
          <t/>
        </is>
      </c>
      <c r="CB211" s="88" t="inlineStr">
        <is>
          <t>Venture Capital</t>
        </is>
      </c>
      <c r="CC211" s="89" t="inlineStr">
        <is>
          <t/>
        </is>
      </c>
      <c r="CD211" s="90" t="inlineStr">
        <is>
          <t/>
        </is>
      </c>
      <c r="CE211" s="91" t="inlineStr">
        <is>
          <t/>
        </is>
      </c>
      <c r="CF211" s="92" t="inlineStr">
        <is>
          <t>Completed</t>
        </is>
      </c>
      <c r="CG211" s="93" t="inlineStr">
        <is>
          <t>-3,67%</t>
        </is>
      </c>
      <c r="CH211" s="94" t="inlineStr">
        <is>
          <t>5</t>
        </is>
      </c>
      <c r="CI211" s="95" t="inlineStr">
        <is>
          <t>0,01%</t>
        </is>
      </c>
      <c r="CJ211" s="96" t="inlineStr">
        <is>
          <t>0,25%</t>
        </is>
      </c>
      <c r="CK211" s="97" t="inlineStr">
        <is>
          <t>-7,72%</t>
        </is>
      </c>
      <c r="CL211" s="98" t="inlineStr">
        <is>
          <t>5</t>
        </is>
      </c>
      <c r="CM211" s="99" t="inlineStr">
        <is>
          <t>0,38%</t>
        </is>
      </c>
      <c r="CN211" s="100" t="inlineStr">
        <is>
          <t>84</t>
        </is>
      </c>
      <c r="CO211" s="101" t="inlineStr">
        <is>
          <t>-15,49%</t>
        </is>
      </c>
      <c r="CP211" s="102" t="inlineStr">
        <is>
          <t>8</t>
        </is>
      </c>
      <c r="CQ211" s="103" t="inlineStr">
        <is>
          <t>0,05%</t>
        </is>
      </c>
      <c r="CR211" s="104" t="inlineStr">
        <is>
          <t>89</t>
        </is>
      </c>
      <c r="CS211" s="105" t="inlineStr">
        <is>
          <t>0,62%</t>
        </is>
      </c>
      <c r="CT211" s="106" t="inlineStr">
        <is>
          <t>90</t>
        </is>
      </c>
      <c r="CU211" s="107" t="inlineStr">
        <is>
          <t>0,14%</t>
        </is>
      </c>
      <c r="CV211" s="108" t="inlineStr">
        <is>
          <t>71</t>
        </is>
      </c>
      <c r="CW211" s="109" t="inlineStr">
        <is>
          <t>7,38x</t>
        </is>
      </c>
      <c r="CX211" s="110" t="inlineStr">
        <is>
          <t>85</t>
        </is>
      </c>
      <c r="CY211" s="111" t="inlineStr">
        <is>
          <t>-0,02x</t>
        </is>
      </c>
      <c r="CZ211" s="112" t="inlineStr">
        <is>
          <t>-0,22%</t>
        </is>
      </c>
      <c r="DA211" s="113" t="inlineStr">
        <is>
          <t>10,99x</t>
        </is>
      </c>
      <c r="DB211" s="114" t="inlineStr">
        <is>
          <t>90</t>
        </is>
      </c>
      <c r="DC211" s="115" t="inlineStr">
        <is>
          <t>3,77x</t>
        </is>
      </c>
      <c r="DD211" s="116" t="inlineStr">
        <is>
          <t>72</t>
        </is>
      </c>
      <c r="DE211" s="117" t="inlineStr">
        <is>
          <t>1,46x</t>
        </is>
      </c>
      <c r="DF211" s="118" t="inlineStr">
        <is>
          <t>59</t>
        </is>
      </c>
      <c r="DG211" s="119" t="inlineStr">
        <is>
          <t>20,53x</t>
        </is>
      </c>
      <c r="DH211" s="120" t="inlineStr">
        <is>
          <t>93</t>
        </is>
      </c>
      <c r="DI211" s="121" t="inlineStr">
        <is>
          <t>0,34x</t>
        </is>
      </c>
      <c r="DJ211" s="122" t="inlineStr">
        <is>
          <t>32</t>
        </is>
      </c>
      <c r="DK211" s="123" t="inlineStr">
        <is>
          <t>7,19x</t>
        </is>
      </c>
      <c r="DL211" s="124" t="inlineStr">
        <is>
          <t>84</t>
        </is>
      </c>
      <c r="DM211" s="125" t="inlineStr">
        <is>
          <t>531</t>
        </is>
      </c>
      <c r="DN211" s="126" t="inlineStr">
        <is>
          <t>57</t>
        </is>
      </c>
      <c r="DO211" s="127" t="inlineStr">
        <is>
          <t>12,03%</t>
        </is>
      </c>
      <c r="DP211" s="128" t="inlineStr">
        <is>
          <t>273</t>
        </is>
      </c>
      <c r="DQ211" s="129" t="inlineStr">
        <is>
          <t>-1</t>
        </is>
      </c>
      <c r="DR211" s="130" t="inlineStr">
        <is>
          <t>-0,36%</t>
        </is>
      </c>
      <c r="DS211" s="131" t="inlineStr">
        <is>
          <t>738</t>
        </is>
      </c>
      <c r="DT211" s="132" t="inlineStr">
        <is>
          <t>0</t>
        </is>
      </c>
      <c r="DU211" s="133" t="inlineStr">
        <is>
          <t>0,00%</t>
        </is>
      </c>
      <c r="DV211" s="134" t="inlineStr">
        <is>
          <t>2.686</t>
        </is>
      </c>
      <c r="DW211" s="135" t="inlineStr">
        <is>
          <t>-4</t>
        </is>
      </c>
      <c r="DX211" s="136" t="inlineStr">
        <is>
          <t>-0,15%</t>
        </is>
      </c>
      <c r="DY211" s="137" t="inlineStr">
        <is>
          <t>PitchBook Research</t>
        </is>
      </c>
      <c r="DZ211" s="785">
        <f>HYPERLINK("https://my.pitchbook.com?c=62117-38", "View company online")</f>
      </c>
    </row>
    <row r="212">
      <c r="A212" s="139" t="inlineStr">
        <is>
          <t>104159-89</t>
        </is>
      </c>
      <c r="B212" s="140" t="inlineStr">
        <is>
          <t>SAM Labs</t>
        </is>
      </c>
      <c r="C212" s="141" t="inlineStr">
        <is>
          <t/>
        </is>
      </c>
      <c r="D212" s="142" t="inlineStr">
        <is>
          <t/>
        </is>
      </c>
      <c r="E212" s="143" t="inlineStr">
        <is>
          <t>104159-89</t>
        </is>
      </c>
      <c r="F212" s="144" t="inlineStr">
        <is>
          <t>Developer of STEM based education curriculum designed to improve student and teacher experiences. The company's education curriculum includes software with user friendly hardware, integrated with lesson plans, apps and electronics, coding and engineering can be taught to children of all skill sets and interests, enabling students to inspire and invent freely.</t>
        </is>
      </c>
      <c r="G212" s="145" t="inlineStr">
        <is>
          <t>Consumer Products and Services (B2C)</t>
        </is>
      </c>
      <c r="H212" s="146" t="inlineStr">
        <is>
          <t>Consumer Durables</t>
        </is>
      </c>
      <c r="I212" s="147" t="inlineStr">
        <is>
          <t>Electronics (B2C)</t>
        </is>
      </c>
      <c r="J212" s="148" t="inlineStr">
        <is>
          <t>Electronics (B2C)*; Educational Software</t>
        </is>
      </c>
      <c r="K212" s="149" t="inlineStr">
        <is>
          <t>EdTech, Mobile</t>
        </is>
      </c>
      <c r="L212" s="150" t="inlineStr">
        <is>
          <t>Venture Capital-Backed</t>
        </is>
      </c>
      <c r="M212" s="151" t="n">
        <v>10.13</v>
      </c>
      <c r="N212" s="152" t="inlineStr">
        <is>
          <t>Generating Revenue</t>
        </is>
      </c>
      <c r="O212" s="153" t="inlineStr">
        <is>
          <t>Privately Held (backing)</t>
        </is>
      </c>
      <c r="P212" s="154" t="inlineStr">
        <is>
          <t>Venture Capital</t>
        </is>
      </c>
      <c r="Q212" s="155" t="inlineStr">
        <is>
          <t>www.samlabs.com</t>
        </is>
      </c>
      <c r="R212" s="156" t="n">
        <v>25.0</v>
      </c>
      <c r="S212" s="157" t="inlineStr">
        <is>
          <t/>
        </is>
      </c>
      <c r="T212" s="158" t="inlineStr">
        <is>
          <t/>
        </is>
      </c>
      <c r="U212" s="159" t="n">
        <v>2013.0</v>
      </c>
      <c r="V212" s="160" t="inlineStr">
        <is>
          <t/>
        </is>
      </c>
      <c r="W212" s="161" t="inlineStr">
        <is>
          <t/>
        </is>
      </c>
      <c r="X212" s="162" t="inlineStr">
        <is>
          <t/>
        </is>
      </c>
      <c r="Y212" s="163" t="inlineStr">
        <is>
          <t/>
        </is>
      </c>
      <c r="Z212" s="164" t="inlineStr">
        <is>
          <t/>
        </is>
      </c>
      <c r="AA212" s="165" t="inlineStr">
        <is>
          <t/>
        </is>
      </c>
      <c r="AB212" s="166" t="inlineStr">
        <is>
          <t/>
        </is>
      </c>
      <c r="AC212" s="167" t="inlineStr">
        <is>
          <t/>
        </is>
      </c>
      <c r="AD212" s="168" t="inlineStr">
        <is>
          <t/>
        </is>
      </c>
      <c r="AE212" s="169" t="inlineStr">
        <is>
          <t>107159-14P</t>
        </is>
      </c>
      <c r="AF212" s="170" t="inlineStr">
        <is>
          <t>Joachim Horn</t>
        </is>
      </c>
      <c r="AG212" s="171" t="inlineStr">
        <is>
          <t>Founder, Board Member and Chief Executive Officer</t>
        </is>
      </c>
      <c r="AH212" s="172" t="inlineStr">
        <is>
          <t>jh@samlabs.me</t>
        </is>
      </c>
      <c r="AI212" s="173" t="inlineStr">
        <is>
          <t/>
        </is>
      </c>
      <c r="AJ212" s="174" t="inlineStr">
        <is>
          <t>London, United Kingdom</t>
        </is>
      </c>
      <c r="AK212" s="175" t="inlineStr">
        <is>
          <t>25A Gallery Limewharf</t>
        </is>
      </c>
      <c r="AL212" s="176" t="inlineStr">
        <is>
          <t>Vyner Street</t>
        </is>
      </c>
      <c r="AM212" s="177" t="inlineStr">
        <is>
          <t>London</t>
        </is>
      </c>
      <c r="AN212" s="178" t="inlineStr">
        <is>
          <t>England</t>
        </is>
      </c>
      <c r="AO212" s="179" t="inlineStr">
        <is>
          <t>E2 9DG</t>
        </is>
      </c>
      <c r="AP212" s="180" t="inlineStr">
        <is>
          <t>United Kingdom</t>
        </is>
      </c>
      <c r="AQ212" s="181" t="inlineStr">
        <is>
          <t/>
        </is>
      </c>
      <c r="AR212" s="182" t="inlineStr">
        <is>
          <t/>
        </is>
      </c>
      <c r="AS212" s="183" t="inlineStr">
        <is>
          <t>info@samlabs.com</t>
        </is>
      </c>
      <c r="AT212" s="184" t="inlineStr">
        <is>
          <t>Europe</t>
        </is>
      </c>
      <c r="AU212" s="185" t="inlineStr">
        <is>
          <t>Western Europe</t>
        </is>
      </c>
      <c r="AV212" s="186" t="inlineStr">
        <is>
          <t>The company raised $6.75 million of Series A venture funding in a deal co-led by Touchstone Innovations and E15 Ventures on November 14, 2017. The company intends to use the funds to develop new educational products, cross-curricula lesson plans and schemes of work, professional development and hands-on customer support. Previously, the company raised GBP 3.25 million of venture funding in a deal led by Touchstone Innovations on May 2, 2016, putting the pre-money valuation at GBP 5.55 million. Other undisclosed investors also participated in the round. The funding will be used to introduce the Internet of Things to kids, to expand their sales and customer service teams, to grow globally and to further develop the product.</t>
        </is>
      </c>
      <c r="AW212" s="187" t="inlineStr">
        <is>
          <t>E15 Ventures, Intel Education Accelerator, Microsoft Accelerator, Touchstone Innovations</t>
        </is>
      </c>
      <c r="AX212" s="188" t="n">
        <v>4.0</v>
      </c>
      <c r="AY212" s="189" t="inlineStr">
        <is>
          <t/>
        </is>
      </c>
      <c r="AZ212" s="190" t="inlineStr">
        <is>
          <t/>
        </is>
      </c>
      <c r="BA212" s="191" t="inlineStr">
        <is>
          <t/>
        </is>
      </c>
      <c r="BB212" s="192" t="inlineStr">
        <is>
          <t>E15 Ventures (www.e15vc.com), Microsoft Accelerator (www.microsoftaccelerator.com), Touchstone Innovations (www.touchstoneinnovations.com)</t>
        </is>
      </c>
      <c r="BC212" s="193" t="inlineStr">
        <is>
          <t/>
        </is>
      </c>
      <c r="BD212" s="194" t="inlineStr">
        <is>
          <t/>
        </is>
      </c>
      <c r="BE212" s="195" t="inlineStr">
        <is>
          <t>Upscale UK (Consulting)</t>
        </is>
      </c>
      <c r="BF212" s="196" t="inlineStr">
        <is>
          <t>Kickstarter (Lead Manager or Arranger)</t>
        </is>
      </c>
      <c r="BG212" s="197" t="n">
        <v>41913.0</v>
      </c>
      <c r="BH212" s="198" t="n">
        <v>0.13</v>
      </c>
      <c r="BI212" s="199" t="inlineStr">
        <is>
          <t>Actual</t>
        </is>
      </c>
      <c r="BJ212" s="200" t="n">
        <v>2.06</v>
      </c>
      <c r="BK212" s="201" t="inlineStr">
        <is>
          <t>Actual</t>
        </is>
      </c>
      <c r="BL212" s="202" t="inlineStr">
        <is>
          <t>Accelerator/Incubator</t>
        </is>
      </c>
      <c r="BM212" s="203" t="inlineStr">
        <is>
          <t/>
        </is>
      </c>
      <c r="BN212" s="204" t="inlineStr">
        <is>
          <t/>
        </is>
      </c>
      <c r="BO212" s="205" t="inlineStr">
        <is>
          <t>Other</t>
        </is>
      </c>
      <c r="BP212" s="206" t="inlineStr">
        <is>
          <t/>
        </is>
      </c>
      <c r="BQ212" s="207" t="inlineStr">
        <is>
          <t/>
        </is>
      </c>
      <c r="BR212" s="208" t="inlineStr">
        <is>
          <t/>
        </is>
      </c>
      <c r="BS212" s="209" t="inlineStr">
        <is>
          <t>Completed</t>
        </is>
      </c>
      <c r="BT212" s="210" t="n">
        <v>43053.0</v>
      </c>
      <c r="BU212" s="211" t="n">
        <v>5.74</v>
      </c>
      <c r="BV212" s="212" t="inlineStr">
        <is>
          <t>Actual</t>
        </is>
      </c>
      <c r="BW212" s="213" t="inlineStr">
        <is>
          <t/>
        </is>
      </c>
      <c r="BX212" s="214" t="inlineStr">
        <is>
          <t/>
        </is>
      </c>
      <c r="BY212" s="215" t="inlineStr">
        <is>
          <t>Early Stage VC</t>
        </is>
      </c>
      <c r="BZ212" s="216" t="inlineStr">
        <is>
          <t>Series A</t>
        </is>
      </c>
      <c r="CA212" s="217" t="inlineStr">
        <is>
          <t/>
        </is>
      </c>
      <c r="CB212" s="218" t="inlineStr">
        <is>
          <t>Venture Capital</t>
        </is>
      </c>
      <c r="CC212" s="219" t="inlineStr">
        <is>
          <t/>
        </is>
      </c>
      <c r="CD212" s="220" t="inlineStr">
        <is>
          <t/>
        </is>
      </c>
      <c r="CE212" s="221" t="inlineStr">
        <is>
          <t/>
        </is>
      </c>
      <c r="CF212" s="222" t="inlineStr">
        <is>
          <t>Completed</t>
        </is>
      </c>
      <c r="CG212" s="223" t="inlineStr">
        <is>
          <t>-2,51%</t>
        </is>
      </c>
      <c r="CH212" s="224" t="inlineStr">
        <is>
          <t>8</t>
        </is>
      </c>
      <c r="CI212" s="225" t="inlineStr">
        <is>
          <t>-0,17%</t>
        </is>
      </c>
      <c r="CJ212" s="226" t="inlineStr">
        <is>
          <t>-7,36%</t>
        </is>
      </c>
      <c r="CK212" s="227" t="inlineStr">
        <is>
          <t>-6,17%</t>
        </is>
      </c>
      <c r="CL212" s="228" t="inlineStr">
        <is>
          <t>6</t>
        </is>
      </c>
      <c r="CM212" s="229" t="inlineStr">
        <is>
          <t>1,16%</t>
        </is>
      </c>
      <c r="CN212" s="230" t="inlineStr">
        <is>
          <t>97</t>
        </is>
      </c>
      <c r="CO212" s="231" t="inlineStr">
        <is>
          <t>-13,31%</t>
        </is>
      </c>
      <c r="CP212" s="232" t="inlineStr">
        <is>
          <t>10</t>
        </is>
      </c>
      <c r="CQ212" s="233" t="inlineStr">
        <is>
          <t>0,96%</t>
        </is>
      </c>
      <c r="CR212" s="234" t="inlineStr">
        <is>
          <t>93</t>
        </is>
      </c>
      <c r="CS212" s="235" t="inlineStr">
        <is>
          <t>1,93%</t>
        </is>
      </c>
      <c r="CT212" s="236" t="inlineStr">
        <is>
          <t>98</t>
        </is>
      </c>
      <c r="CU212" s="237" t="inlineStr">
        <is>
          <t>0,40%</t>
        </is>
      </c>
      <c r="CV212" s="238" t="inlineStr">
        <is>
          <t>88</t>
        </is>
      </c>
      <c r="CW212" s="239" t="inlineStr">
        <is>
          <t>9,44x</t>
        </is>
      </c>
      <c r="CX212" s="240" t="inlineStr">
        <is>
          <t>87</t>
        </is>
      </c>
      <c r="CY212" s="241" t="inlineStr">
        <is>
          <t>0,03x</t>
        </is>
      </c>
      <c r="CZ212" s="242" t="inlineStr">
        <is>
          <t>0,28%</t>
        </is>
      </c>
      <c r="DA212" s="243" t="inlineStr">
        <is>
          <t>7,72x</t>
        </is>
      </c>
      <c r="DB212" s="244" t="inlineStr">
        <is>
          <t>86</t>
        </is>
      </c>
      <c r="DC212" s="245" t="inlineStr">
        <is>
          <t>11,17x</t>
        </is>
      </c>
      <c r="DD212" s="246" t="inlineStr">
        <is>
          <t>85</t>
        </is>
      </c>
      <c r="DE212" s="247" t="inlineStr">
        <is>
          <t>3,63x</t>
        </is>
      </c>
      <c r="DF212" s="248" t="inlineStr">
        <is>
          <t>76</t>
        </is>
      </c>
      <c r="DG212" s="249" t="inlineStr">
        <is>
          <t>11,81x</t>
        </is>
      </c>
      <c r="DH212" s="250" t="inlineStr">
        <is>
          <t>89</t>
        </is>
      </c>
      <c r="DI212" s="251" t="inlineStr">
        <is>
          <t>9,14x</t>
        </is>
      </c>
      <c r="DJ212" s="252" t="inlineStr">
        <is>
          <t>81</t>
        </is>
      </c>
      <c r="DK212" s="253" t="inlineStr">
        <is>
          <t>13,21x</t>
        </is>
      </c>
      <c r="DL212" s="254" t="inlineStr">
        <is>
          <t>89</t>
        </is>
      </c>
      <c r="DM212" s="255" t="inlineStr">
        <is>
          <t>1.346</t>
        </is>
      </c>
      <c r="DN212" s="256" t="inlineStr">
        <is>
          <t>-6</t>
        </is>
      </c>
      <c r="DO212" s="257" t="inlineStr">
        <is>
          <t>-0,44%</t>
        </is>
      </c>
      <c r="DP212" s="258" t="inlineStr">
        <is>
          <t>7.232</t>
        </is>
      </c>
      <c r="DQ212" s="259" t="inlineStr">
        <is>
          <t>18</t>
        </is>
      </c>
      <c r="DR212" s="260" t="inlineStr">
        <is>
          <t>0,25%</t>
        </is>
      </c>
      <c r="DS212" s="261" t="inlineStr">
        <is>
          <t>421</t>
        </is>
      </c>
      <c r="DT212" s="262" t="inlineStr">
        <is>
          <t>6</t>
        </is>
      </c>
      <c r="DU212" s="263" t="inlineStr">
        <is>
          <t>1,45%</t>
        </is>
      </c>
      <c r="DV212" s="264" t="inlineStr">
        <is>
          <t>4.932</t>
        </is>
      </c>
      <c r="DW212" s="265" t="inlineStr">
        <is>
          <t>33</t>
        </is>
      </c>
      <c r="DX212" s="266" t="inlineStr">
        <is>
          <t>0,67%</t>
        </is>
      </c>
      <c r="DY212" s="267" t="inlineStr">
        <is>
          <t>PitchBook Research</t>
        </is>
      </c>
      <c r="DZ212" s="786">
        <f>HYPERLINK("https://my.pitchbook.com?c=104159-89", "View company online")</f>
      </c>
    </row>
    <row r="213">
      <c r="A213" s="9" t="inlineStr">
        <is>
          <t>106851-52</t>
        </is>
      </c>
      <c r="B213" s="10" t="inlineStr">
        <is>
          <t>Winnow</t>
        </is>
      </c>
      <c r="C213" s="11" t="inlineStr">
        <is>
          <t/>
        </is>
      </c>
      <c r="D213" s="12" t="inlineStr">
        <is>
          <t/>
        </is>
      </c>
      <c r="E213" s="13" t="inlineStr">
        <is>
          <t>106851-52</t>
        </is>
      </c>
      <c r="F213" s="14" t="inlineStr">
        <is>
          <t>Developer of a food waste reduction platform intended to connect the commercial kitchen, create a movement of chefs and inspire others to see that food is too valuable to waste. The company's food waste reduction platform automatically measures food waste using any bin on the smart scale and records and analyses the day's waste, enabling chefs to take measure accordingly, reduce the waste and save food for future purposes.</t>
        </is>
      </c>
      <c r="G213" s="15" t="inlineStr">
        <is>
          <t>Information Technology</t>
        </is>
      </c>
      <c r="H213" s="16" t="inlineStr">
        <is>
          <t>Software</t>
        </is>
      </c>
      <c r="I213" s="17" t="inlineStr">
        <is>
          <t>Business/Productivity Software</t>
        </is>
      </c>
      <c r="J213" s="18" t="inlineStr">
        <is>
          <t>Business/Productivity Software*</t>
        </is>
      </c>
      <c r="K213" s="19" t="inlineStr">
        <is>
          <t>LOHAS &amp; Wellness</t>
        </is>
      </c>
      <c r="L213" s="20" t="inlineStr">
        <is>
          <t>Venture Capital-Backed</t>
        </is>
      </c>
      <c r="M213" s="21" t="n">
        <v>10.21</v>
      </c>
      <c r="N213" s="22" t="inlineStr">
        <is>
          <t>Generating Revenue</t>
        </is>
      </c>
      <c r="O213" s="23" t="inlineStr">
        <is>
          <t>Privately Held (backing)</t>
        </is>
      </c>
      <c r="P213" s="24" t="inlineStr">
        <is>
          <t>Venture Capital</t>
        </is>
      </c>
      <c r="Q213" s="25" t="inlineStr">
        <is>
          <t>www.winnowsolutions.com</t>
        </is>
      </c>
      <c r="R213" s="26" t="n">
        <v>12.0</v>
      </c>
      <c r="S213" s="27" t="inlineStr">
        <is>
          <t/>
        </is>
      </c>
      <c r="T213" s="28" t="inlineStr">
        <is>
          <t/>
        </is>
      </c>
      <c r="U213" s="29" t="n">
        <v>2013.0</v>
      </c>
      <c r="V213" s="30" t="inlineStr">
        <is>
          <t/>
        </is>
      </c>
      <c r="W213" s="31" t="inlineStr">
        <is>
          <t/>
        </is>
      </c>
      <c r="X213" s="32" t="inlineStr">
        <is>
          <t/>
        </is>
      </c>
      <c r="Y213" s="33" t="inlineStr">
        <is>
          <t/>
        </is>
      </c>
      <c r="Z213" s="34" t="inlineStr">
        <is>
          <t/>
        </is>
      </c>
      <c r="AA213" s="35" t="inlineStr">
        <is>
          <t/>
        </is>
      </c>
      <c r="AB213" s="36" t="inlineStr">
        <is>
          <t/>
        </is>
      </c>
      <c r="AC213" s="37" t="inlineStr">
        <is>
          <t/>
        </is>
      </c>
      <c r="AD213" s="38" t="inlineStr">
        <is>
          <t/>
        </is>
      </c>
      <c r="AE213" s="39" t="inlineStr">
        <is>
          <t>125951-59P</t>
        </is>
      </c>
      <c r="AF213" s="40" t="inlineStr">
        <is>
          <t>Charles Whitmore</t>
        </is>
      </c>
      <c r="AG213" s="41" t="inlineStr">
        <is>
          <t>Head of Engineering</t>
        </is>
      </c>
      <c r="AH213" s="42" t="inlineStr">
        <is>
          <t>charles.whitmore@winnowsolutions.com</t>
        </is>
      </c>
      <c r="AI213" s="43" t="inlineStr">
        <is>
          <t>+44 (0)20 3637 2690</t>
        </is>
      </c>
      <c r="AJ213" s="44" t="inlineStr">
        <is>
          <t>London, United Kingdom</t>
        </is>
      </c>
      <c r="AK213" s="45" t="inlineStr">
        <is>
          <t>Runway East – Lower Ground</t>
        </is>
      </c>
      <c r="AL213" s="46" t="inlineStr">
        <is>
          <t>10 Finsbury Square</t>
        </is>
      </c>
      <c r="AM213" s="47" t="inlineStr">
        <is>
          <t>London</t>
        </is>
      </c>
      <c r="AN213" s="48" t="inlineStr">
        <is>
          <t>England</t>
        </is>
      </c>
      <c r="AO213" s="49" t="inlineStr">
        <is>
          <t>EC2A 1AF</t>
        </is>
      </c>
      <c r="AP213" s="50" t="inlineStr">
        <is>
          <t>United Kingdom</t>
        </is>
      </c>
      <c r="AQ213" s="51" t="inlineStr">
        <is>
          <t>+44 (0)20 3637 2690</t>
        </is>
      </c>
      <c r="AR213" s="52" t="inlineStr">
        <is>
          <t/>
        </is>
      </c>
      <c r="AS213" s="53" t="inlineStr">
        <is>
          <t>info@winnowsolutions.com</t>
        </is>
      </c>
      <c r="AT213" s="54" t="inlineStr">
        <is>
          <t>Europe</t>
        </is>
      </c>
      <c r="AU213" s="55" t="inlineStr">
        <is>
          <t>Western Europe</t>
        </is>
      </c>
      <c r="AV213" s="56" t="inlineStr">
        <is>
          <t>The company raised $7.4 million of venture funding in a deal led by Circularity Capital, Mustard Seed Impact and D-Ax on October 22, 2017. The company intends to use the funds for product development and international reach to further broaden their customer base and continue their technology development road map.</t>
        </is>
      </c>
      <c r="AW213" s="57" t="inlineStr">
        <is>
          <t>AccelerAsia, Alan Parker, Aletra Capital Partners, Circularity Capital, D-Ax, Henry Wigan, Hugh Fearnley-Whittingstall, Jeremy Oppenheim, Mustard Seed Impact, NDRC, Quadia, Seedcamp</t>
        </is>
      </c>
      <c r="AX213" s="58" t="n">
        <v>12.0</v>
      </c>
      <c r="AY213" s="59" t="inlineStr">
        <is>
          <t/>
        </is>
      </c>
      <c r="AZ213" s="60" t="inlineStr">
        <is>
          <t/>
        </is>
      </c>
      <c r="BA213" s="61" t="inlineStr">
        <is>
          <t/>
        </is>
      </c>
      <c r="BB213" s="62" t="inlineStr">
        <is>
          <t>AccelerAsia (www.accelerasia.com), Aletra Capital Partners (www.aletracapitalpartners.com), Circularity Capital (www.circularitycapital.com), D-Ax (www.d-ax.se), Mustard Seed Impact (www.mustardseed.vc), NDRC (www.ndrc.ie), Quadia (www.quadia.ch), Seedcamp (www.seedcamp.com)</t>
        </is>
      </c>
      <c r="BC213" s="63" t="inlineStr">
        <is>
          <t/>
        </is>
      </c>
      <c r="BD213" s="64" t="inlineStr">
        <is>
          <t/>
        </is>
      </c>
      <c r="BE213" s="65" t="inlineStr">
        <is>
          <t>Orrick, Herrington &amp; Sutcliffe (Legal Advisor)</t>
        </is>
      </c>
      <c r="BF213" s="66" t="inlineStr">
        <is>
          <t>Orrick, Herrington &amp; Sutcliffe (Legal Advisor)</t>
        </is>
      </c>
      <c r="BG213" s="67" t="n">
        <v>41822.0</v>
      </c>
      <c r="BH213" s="68" t="inlineStr">
        <is>
          <t/>
        </is>
      </c>
      <c r="BI213" s="69" t="inlineStr">
        <is>
          <t/>
        </is>
      </c>
      <c r="BJ213" s="70" t="inlineStr">
        <is>
          <t/>
        </is>
      </c>
      <c r="BK213" s="71" t="inlineStr">
        <is>
          <t/>
        </is>
      </c>
      <c r="BL213" s="72" t="inlineStr">
        <is>
          <t>Accelerator/Incubator</t>
        </is>
      </c>
      <c r="BM213" s="73" t="inlineStr">
        <is>
          <t/>
        </is>
      </c>
      <c r="BN213" s="74" t="inlineStr">
        <is>
          <t/>
        </is>
      </c>
      <c r="BO213" s="75" t="inlineStr">
        <is>
          <t>Venture Capital</t>
        </is>
      </c>
      <c r="BP213" s="76" t="inlineStr">
        <is>
          <t/>
        </is>
      </c>
      <c r="BQ213" s="77" t="inlineStr">
        <is>
          <t/>
        </is>
      </c>
      <c r="BR213" s="78" t="inlineStr">
        <is>
          <t/>
        </is>
      </c>
      <c r="BS213" s="79" t="inlineStr">
        <is>
          <t>Completed</t>
        </is>
      </c>
      <c r="BT213" s="80" t="n">
        <v>43030.0</v>
      </c>
      <c r="BU213" s="81" t="n">
        <v>6.29</v>
      </c>
      <c r="BV213" s="82" t="inlineStr">
        <is>
          <t>Actual</t>
        </is>
      </c>
      <c r="BW213" s="83" t="inlineStr">
        <is>
          <t/>
        </is>
      </c>
      <c r="BX213" s="84" t="inlineStr">
        <is>
          <t/>
        </is>
      </c>
      <c r="BY213" s="85" t="inlineStr">
        <is>
          <t>Early Stage VC</t>
        </is>
      </c>
      <c r="BZ213" s="86" t="inlineStr">
        <is>
          <t/>
        </is>
      </c>
      <c r="CA213" s="87" t="inlineStr">
        <is>
          <t/>
        </is>
      </c>
      <c r="CB213" s="88" t="inlineStr">
        <is>
          <t>Venture Capital</t>
        </is>
      </c>
      <c r="CC213" s="89" t="inlineStr">
        <is>
          <t/>
        </is>
      </c>
      <c r="CD213" s="90" t="inlineStr">
        <is>
          <t/>
        </is>
      </c>
      <c r="CE213" s="91" t="inlineStr">
        <is>
          <t/>
        </is>
      </c>
      <c r="CF213" s="92" t="inlineStr">
        <is>
          <t>Completed</t>
        </is>
      </c>
      <c r="CG213" s="93" t="inlineStr">
        <is>
          <t>1,43%</t>
        </is>
      </c>
      <c r="CH213" s="94" t="inlineStr">
        <is>
          <t>96</t>
        </is>
      </c>
      <c r="CI213" s="95" t="inlineStr">
        <is>
          <t>-0,16%</t>
        </is>
      </c>
      <c r="CJ213" s="96" t="inlineStr">
        <is>
          <t>-9,85%</t>
        </is>
      </c>
      <c r="CK213" s="97" t="inlineStr">
        <is>
          <t>1,42%</t>
        </is>
      </c>
      <c r="CL213" s="98" t="inlineStr">
        <is>
          <t>96</t>
        </is>
      </c>
      <c r="CM213" s="99" t="inlineStr">
        <is>
          <t>1,45%</t>
        </is>
      </c>
      <c r="CN213" s="100" t="inlineStr">
        <is>
          <t>98</t>
        </is>
      </c>
      <c r="CO213" s="101" t="inlineStr">
        <is>
          <t>0,00%</t>
        </is>
      </c>
      <c r="CP213" s="102" t="inlineStr">
        <is>
          <t>37</t>
        </is>
      </c>
      <c r="CQ213" s="103" t="inlineStr">
        <is>
          <t>2,83%</t>
        </is>
      </c>
      <c r="CR213" s="104" t="inlineStr">
        <is>
          <t>96</t>
        </is>
      </c>
      <c r="CS213" s="105" t="inlineStr">
        <is>
          <t>1,91%</t>
        </is>
      </c>
      <c r="CT213" s="106" t="inlineStr">
        <is>
          <t>98</t>
        </is>
      </c>
      <c r="CU213" s="107" t="inlineStr">
        <is>
          <t>0,99%</t>
        </is>
      </c>
      <c r="CV213" s="108" t="inlineStr">
        <is>
          <t>97</t>
        </is>
      </c>
      <c r="CW213" s="109" t="inlineStr">
        <is>
          <t>4,46x</t>
        </is>
      </c>
      <c r="CX213" s="110" t="inlineStr">
        <is>
          <t>78</t>
        </is>
      </c>
      <c r="CY213" s="111" t="inlineStr">
        <is>
          <t>-0,03x</t>
        </is>
      </c>
      <c r="CZ213" s="112" t="inlineStr">
        <is>
          <t>-0,60%</t>
        </is>
      </c>
      <c r="DA213" s="113" t="inlineStr">
        <is>
          <t>6,44x</t>
        </is>
      </c>
      <c r="DB213" s="114" t="inlineStr">
        <is>
          <t>84</t>
        </is>
      </c>
      <c r="DC213" s="115" t="inlineStr">
        <is>
          <t>2,47x</t>
        </is>
      </c>
      <c r="DD213" s="116" t="inlineStr">
        <is>
          <t>65</t>
        </is>
      </c>
      <c r="DE213" s="117" t="inlineStr">
        <is>
          <t>2,50x</t>
        </is>
      </c>
      <c r="DF213" s="118" t="inlineStr">
        <is>
          <t>70</t>
        </is>
      </c>
      <c r="DG213" s="119" t="inlineStr">
        <is>
          <t>10,39x</t>
        </is>
      </c>
      <c r="DH213" s="120" t="inlineStr">
        <is>
          <t>87</t>
        </is>
      </c>
      <c r="DI213" s="121" t="inlineStr">
        <is>
          <t>0,39x</t>
        </is>
      </c>
      <c r="DJ213" s="122" t="inlineStr">
        <is>
          <t>34</t>
        </is>
      </c>
      <c r="DK213" s="123" t="inlineStr">
        <is>
          <t>4,56x</t>
        </is>
      </c>
      <c r="DL213" s="124" t="inlineStr">
        <is>
          <t>78</t>
        </is>
      </c>
      <c r="DM213" s="125" t="inlineStr">
        <is>
          <t>902</t>
        </is>
      </c>
      <c r="DN213" s="126" t="inlineStr">
        <is>
          <t>124</t>
        </is>
      </c>
      <c r="DO213" s="127" t="inlineStr">
        <is>
          <t>15,94%</t>
        </is>
      </c>
      <c r="DP213" s="128" t="inlineStr">
        <is>
          <t>300</t>
        </is>
      </c>
      <c r="DQ213" s="129" t="inlineStr">
        <is>
          <t>7</t>
        </is>
      </c>
      <c r="DR213" s="130" t="inlineStr">
        <is>
          <t>2,39%</t>
        </is>
      </c>
      <c r="DS213" s="131" t="inlineStr">
        <is>
          <t>375</t>
        </is>
      </c>
      <c r="DT213" s="132" t="inlineStr">
        <is>
          <t>1</t>
        </is>
      </c>
      <c r="DU213" s="133" t="inlineStr">
        <is>
          <t>0,27%</t>
        </is>
      </c>
      <c r="DV213" s="134" t="inlineStr">
        <is>
          <t>1.701</t>
        </is>
      </c>
      <c r="DW213" s="135" t="inlineStr">
        <is>
          <t>17</t>
        </is>
      </c>
      <c r="DX213" s="136" t="inlineStr">
        <is>
          <t>1,01%</t>
        </is>
      </c>
      <c r="DY213" s="137" t="inlineStr">
        <is>
          <t>PitchBook Research</t>
        </is>
      </c>
      <c r="DZ213" s="785">
        <f>HYPERLINK("https://my.pitchbook.com?c=106851-52", "View company online")</f>
      </c>
    </row>
    <row r="214">
      <c r="A214" s="139" t="inlineStr">
        <is>
          <t>169025-59</t>
        </is>
      </c>
      <c r="B214" s="140" t="inlineStr">
        <is>
          <t>3yourmind</t>
        </is>
      </c>
      <c r="C214" s="141" t="inlineStr">
        <is>
          <t/>
        </is>
      </c>
      <c r="D214" s="142" t="inlineStr">
        <is>
          <t/>
        </is>
      </c>
      <c r="E214" s="143" t="inlineStr">
        <is>
          <t>169025-59</t>
        </is>
      </c>
      <c r="F214" s="144" t="inlineStr">
        <is>
          <t>Provider of an online cloud-based 3D printing platform intended to transform data into a 3D-printed masterpiece. The company's online cloud-based 3D printing platform uses instant online-analysis-and-repair tool, enabling users to find and connect to additive manufacturing service providers, connect devices with 3D printers and compare prices of various 3D printing services online.</t>
        </is>
      </c>
      <c r="G214" s="145" t="inlineStr">
        <is>
          <t>Information Technology</t>
        </is>
      </c>
      <c r="H214" s="146" t="inlineStr">
        <is>
          <t>Software</t>
        </is>
      </c>
      <c r="I214" s="147" t="inlineStr">
        <is>
          <t>Application Software</t>
        </is>
      </c>
      <c r="J214" s="148" t="inlineStr">
        <is>
          <t>Application Software*; Printing Services (B2B); Social/Platform Software</t>
        </is>
      </c>
      <c r="K214" s="149" t="inlineStr">
        <is>
          <t>3D Printing, SaaS</t>
        </is>
      </c>
      <c r="L214" s="150" t="inlineStr">
        <is>
          <t>Venture Capital-Backed</t>
        </is>
      </c>
      <c r="M214" s="151" t="n">
        <v>10.21</v>
      </c>
      <c r="N214" s="152" t="inlineStr">
        <is>
          <t>Generating Revenue</t>
        </is>
      </c>
      <c r="O214" s="153" t="inlineStr">
        <is>
          <t>Privately Held (backing)</t>
        </is>
      </c>
      <c r="P214" s="154" t="inlineStr">
        <is>
          <t>Venture Capital</t>
        </is>
      </c>
      <c r="Q214" s="155" t="inlineStr">
        <is>
          <t>www.3yourmind.com</t>
        </is>
      </c>
      <c r="R214" s="156" t="n">
        <v>40.0</v>
      </c>
      <c r="S214" s="157" t="inlineStr">
        <is>
          <t/>
        </is>
      </c>
      <c r="T214" s="158" t="inlineStr">
        <is>
          <t/>
        </is>
      </c>
      <c r="U214" s="159" t="n">
        <v>2014.0</v>
      </c>
      <c r="V214" s="160" t="inlineStr">
        <is>
          <t/>
        </is>
      </c>
      <c r="W214" s="161" t="inlineStr">
        <is>
          <t/>
        </is>
      </c>
      <c r="X214" s="162" t="inlineStr">
        <is>
          <t/>
        </is>
      </c>
      <c r="Y214" s="163" t="inlineStr">
        <is>
          <t/>
        </is>
      </c>
      <c r="Z214" s="164" t="inlineStr">
        <is>
          <t/>
        </is>
      </c>
      <c r="AA214" s="165" t="inlineStr">
        <is>
          <t/>
        </is>
      </c>
      <c r="AB214" s="166" t="inlineStr">
        <is>
          <t/>
        </is>
      </c>
      <c r="AC214" s="167" t="inlineStr">
        <is>
          <t/>
        </is>
      </c>
      <c r="AD214" s="168" t="inlineStr">
        <is>
          <t/>
        </is>
      </c>
      <c r="AE214" s="169" t="inlineStr">
        <is>
          <t>152543-71P</t>
        </is>
      </c>
      <c r="AF214" s="170" t="inlineStr">
        <is>
          <t>Stephan Kühr</t>
        </is>
      </c>
      <c r="AG214" s="171" t="inlineStr">
        <is>
          <t>Co-Founder &amp; Co-Chief Executive Officer</t>
        </is>
      </c>
      <c r="AH214" s="172" t="inlineStr">
        <is>
          <t>stephan@3yourmind.com</t>
        </is>
      </c>
      <c r="AI214" s="173" t="inlineStr">
        <is>
          <t>+49 (0)30 5557 8748</t>
        </is>
      </c>
      <c r="AJ214" s="174" t="inlineStr">
        <is>
          <t>Berlin, Germany</t>
        </is>
      </c>
      <c r="AK214" s="175" t="inlineStr">
        <is>
          <t>Bismarckstr. 10-12</t>
        </is>
      </c>
      <c r="AL214" s="176" t="inlineStr">
        <is>
          <t/>
        </is>
      </c>
      <c r="AM214" s="177" t="inlineStr">
        <is>
          <t>Berlin</t>
        </is>
      </c>
      <c r="AN214" s="178" t="inlineStr">
        <is>
          <t/>
        </is>
      </c>
      <c r="AO214" s="179" t="inlineStr">
        <is>
          <t>10625</t>
        </is>
      </c>
      <c r="AP214" s="180" t="inlineStr">
        <is>
          <t>Germany</t>
        </is>
      </c>
      <c r="AQ214" s="181" t="inlineStr">
        <is>
          <t>+49 (0)30 5557 8748</t>
        </is>
      </c>
      <c r="AR214" s="182" t="inlineStr">
        <is>
          <t/>
        </is>
      </c>
      <c r="AS214" s="183" t="inlineStr">
        <is>
          <t>info@3yourmind.com</t>
        </is>
      </c>
      <c r="AT214" s="184" t="inlineStr">
        <is>
          <t>Europe</t>
        </is>
      </c>
      <c r="AU214" s="185" t="inlineStr">
        <is>
          <t>Western Europe</t>
        </is>
      </c>
      <c r="AV214" s="186" t="inlineStr">
        <is>
          <t>The company raised $12 million of Series A venture funding in a deal led by Unternehmertum Venture Capital Partners on October 30, 2017. EVC Ventures, EOSS Industries Holding, Coparion, AM Ventures and TRUMPF also participated in the round. The funding will be used to further expand into the US market, to drive initial entry into the Asian market as well as the development of further software tools for industrial 3D printing.</t>
        </is>
      </c>
      <c r="AW214" s="187" t="inlineStr">
        <is>
          <t>AM Ventures, Coparion, Dr. Hans J. Langer, EIT Digital, EOSS Industries Holding, EVC Ventures, FABulous, German Accelerator, StartX, TRUMPF, UnternehmerTUM, Unternehmertum Venture Capital Partners</t>
        </is>
      </c>
      <c r="AX214" s="188" t="n">
        <v>12.0</v>
      </c>
      <c r="AY214" s="189" t="inlineStr">
        <is>
          <t/>
        </is>
      </c>
      <c r="AZ214" s="190" t="inlineStr">
        <is>
          <t/>
        </is>
      </c>
      <c r="BA214" s="191" t="inlineStr">
        <is>
          <t/>
        </is>
      </c>
      <c r="BB214" s="192" t="inlineStr">
        <is>
          <t>AM Ventures (www.amv.ventures), Coparion (www.coparion.vc), EIT Digital (www.eitdigital.eu), EOSS Industries Holding (www.eossgroup.com), EVC Ventures (www.evc.ventures), FABulous (www.fabulous-fi.eu), German Accelerator (www.germanaccelerator.com), StartX (www.startx.com), TRUMPF (www.trumpf.com), UnternehmerTUM (www.unternehmertum.de), Unternehmertum Venture Capital Partners (www.uvcpartners.com)</t>
        </is>
      </c>
      <c r="BC214" s="193" t="inlineStr">
        <is>
          <t/>
        </is>
      </c>
      <c r="BD214" s="194" t="inlineStr">
        <is>
          <t/>
        </is>
      </c>
      <c r="BE214" s="195" t="inlineStr">
        <is>
          <t/>
        </is>
      </c>
      <c r="BF214" s="196" t="inlineStr">
        <is>
          <t/>
        </is>
      </c>
      <c r="BG214" s="197" t="n">
        <v>41852.0</v>
      </c>
      <c r="BH214" s="198" t="n">
        <v>0.26</v>
      </c>
      <c r="BI214" s="199" t="inlineStr">
        <is>
          <t>Actual</t>
        </is>
      </c>
      <c r="BJ214" s="200" t="inlineStr">
        <is>
          <t/>
        </is>
      </c>
      <c r="BK214" s="201" t="inlineStr">
        <is>
          <t/>
        </is>
      </c>
      <c r="BL214" s="202" t="inlineStr">
        <is>
          <t>Grant</t>
        </is>
      </c>
      <c r="BM214" s="203" t="inlineStr">
        <is>
          <t/>
        </is>
      </c>
      <c r="BN214" s="204" t="inlineStr">
        <is>
          <t/>
        </is>
      </c>
      <c r="BO214" s="205" t="inlineStr">
        <is>
          <t>Other</t>
        </is>
      </c>
      <c r="BP214" s="206" t="inlineStr">
        <is>
          <t/>
        </is>
      </c>
      <c r="BQ214" s="207" t="inlineStr">
        <is>
          <t/>
        </is>
      </c>
      <c r="BR214" s="208" t="inlineStr">
        <is>
          <t/>
        </is>
      </c>
      <c r="BS214" s="209" t="inlineStr">
        <is>
          <t>Completed</t>
        </is>
      </c>
      <c r="BT214" s="210" t="n">
        <v>43038.0</v>
      </c>
      <c r="BU214" s="211" t="n">
        <v>10.21</v>
      </c>
      <c r="BV214" s="212" t="inlineStr">
        <is>
          <t>Actual</t>
        </is>
      </c>
      <c r="BW214" s="213" t="inlineStr">
        <is>
          <t/>
        </is>
      </c>
      <c r="BX214" s="214" t="inlineStr">
        <is>
          <t/>
        </is>
      </c>
      <c r="BY214" s="215" t="inlineStr">
        <is>
          <t>Early Stage VC</t>
        </is>
      </c>
      <c r="BZ214" s="216" t="inlineStr">
        <is>
          <t>Series A</t>
        </is>
      </c>
      <c r="CA214" s="217" t="inlineStr">
        <is>
          <t/>
        </is>
      </c>
      <c r="CB214" s="218" t="inlineStr">
        <is>
          <t>Venture Capital</t>
        </is>
      </c>
      <c r="CC214" s="219" t="inlineStr">
        <is>
          <t/>
        </is>
      </c>
      <c r="CD214" s="220" t="inlineStr">
        <is>
          <t/>
        </is>
      </c>
      <c r="CE214" s="221" t="inlineStr">
        <is>
          <t/>
        </is>
      </c>
      <c r="CF214" s="222" t="inlineStr">
        <is>
          <t>Completed</t>
        </is>
      </c>
      <c r="CG214" s="223" t="inlineStr">
        <is>
          <t>-1,74%</t>
        </is>
      </c>
      <c r="CH214" s="224" t="inlineStr">
        <is>
          <t>10</t>
        </is>
      </c>
      <c r="CI214" s="225" t="inlineStr">
        <is>
          <t>0,02%</t>
        </is>
      </c>
      <c r="CJ214" s="226" t="inlineStr">
        <is>
          <t>1,00%</t>
        </is>
      </c>
      <c r="CK214" s="227" t="inlineStr">
        <is>
          <t>-6,70%</t>
        </is>
      </c>
      <c r="CL214" s="228" t="inlineStr">
        <is>
          <t>6</t>
        </is>
      </c>
      <c r="CM214" s="229" t="inlineStr">
        <is>
          <t>0,49%</t>
        </is>
      </c>
      <c r="CN214" s="230" t="inlineStr">
        <is>
          <t>88</t>
        </is>
      </c>
      <c r="CO214" s="231" t="inlineStr">
        <is>
          <t>-14,21%</t>
        </is>
      </c>
      <c r="CP214" s="232" t="inlineStr">
        <is>
          <t>9</t>
        </is>
      </c>
      <c r="CQ214" s="233" t="inlineStr">
        <is>
          <t>0,81%</t>
        </is>
      </c>
      <c r="CR214" s="234" t="inlineStr">
        <is>
          <t>93</t>
        </is>
      </c>
      <c r="CS214" s="235" t="inlineStr">
        <is>
          <t>0,47%</t>
        </is>
      </c>
      <c r="CT214" s="236" t="inlineStr">
        <is>
          <t>86</t>
        </is>
      </c>
      <c r="CU214" s="237" t="inlineStr">
        <is>
          <t>0,51%</t>
        </is>
      </c>
      <c r="CV214" s="238" t="inlineStr">
        <is>
          <t>91</t>
        </is>
      </c>
      <c r="CW214" s="239" t="inlineStr">
        <is>
          <t>2,53x</t>
        </is>
      </c>
      <c r="CX214" s="240" t="inlineStr">
        <is>
          <t>69</t>
        </is>
      </c>
      <c r="CY214" s="241" t="inlineStr">
        <is>
          <t>-0,01x</t>
        </is>
      </c>
      <c r="CZ214" s="242" t="inlineStr">
        <is>
          <t>-0,45%</t>
        </is>
      </c>
      <c r="DA214" s="243" t="inlineStr">
        <is>
          <t>5,60x</t>
        </is>
      </c>
      <c r="DB214" s="244" t="inlineStr">
        <is>
          <t>83</t>
        </is>
      </c>
      <c r="DC214" s="245" t="inlineStr">
        <is>
          <t>1,85x</t>
        </is>
      </c>
      <c r="DD214" s="246" t="inlineStr">
        <is>
          <t>60</t>
        </is>
      </c>
      <c r="DE214" s="247" t="inlineStr">
        <is>
          <t>1,81x</t>
        </is>
      </c>
      <c r="DF214" s="248" t="inlineStr">
        <is>
          <t>64</t>
        </is>
      </c>
      <c r="DG214" s="249" t="inlineStr">
        <is>
          <t>9,39x</t>
        </is>
      </c>
      <c r="DH214" s="250" t="inlineStr">
        <is>
          <t>86</t>
        </is>
      </c>
      <c r="DI214" s="251" t="inlineStr">
        <is>
          <t>1,07x</t>
        </is>
      </c>
      <c r="DJ214" s="252" t="inlineStr">
        <is>
          <t>52</t>
        </is>
      </c>
      <c r="DK214" s="253" t="inlineStr">
        <is>
          <t>2,63x</t>
        </is>
      </c>
      <c r="DL214" s="254" t="inlineStr">
        <is>
          <t>69</t>
        </is>
      </c>
      <c r="DM214" s="255" t="inlineStr">
        <is>
          <t>680</t>
        </is>
      </c>
      <c r="DN214" s="256" t="inlineStr">
        <is>
          <t>-42</t>
        </is>
      </c>
      <c r="DO214" s="257" t="inlineStr">
        <is>
          <t>-5,82%</t>
        </is>
      </c>
      <c r="DP214" s="258" t="inlineStr">
        <is>
          <t>847</t>
        </is>
      </c>
      <c r="DQ214" s="259" t="inlineStr">
        <is>
          <t>3</t>
        </is>
      </c>
      <c r="DR214" s="260" t="inlineStr">
        <is>
          <t>0,36%</t>
        </is>
      </c>
      <c r="DS214" s="261" t="inlineStr">
        <is>
          <t>338</t>
        </is>
      </c>
      <c r="DT214" s="262" t="inlineStr">
        <is>
          <t>0</t>
        </is>
      </c>
      <c r="DU214" s="263" t="inlineStr">
        <is>
          <t>0,00%</t>
        </is>
      </c>
      <c r="DV214" s="264" t="inlineStr">
        <is>
          <t>978</t>
        </is>
      </c>
      <c r="DW214" s="265" t="inlineStr">
        <is>
          <t>5</t>
        </is>
      </c>
      <c r="DX214" s="266" t="inlineStr">
        <is>
          <t>0,51%</t>
        </is>
      </c>
      <c r="DY214" s="267" t="inlineStr">
        <is>
          <t>PitchBook Research</t>
        </is>
      </c>
      <c r="DZ214" s="786">
        <f>HYPERLINK("https://my.pitchbook.com?c=169025-59", "View company online")</f>
      </c>
    </row>
    <row r="215">
      <c r="A215" s="9" t="inlineStr">
        <is>
          <t>64233-28</t>
        </is>
      </c>
      <c r="B215" s="10" t="inlineStr">
        <is>
          <t>Heetch</t>
        </is>
      </c>
      <c r="C215" s="11" t="inlineStr">
        <is>
          <t/>
        </is>
      </c>
      <c r="D215" s="12" t="inlineStr">
        <is>
          <t/>
        </is>
      </c>
      <c r="E215" s="13" t="inlineStr">
        <is>
          <t>64233-28</t>
        </is>
      </c>
      <c r="F215" s="14" t="inlineStr">
        <is>
          <t>Developer of a ride sharing application designed to help users enjoy their night out without worrying about transportation. The company's ride sharing application matches drivers with passengers who request rides through the application which is specifically targeted at late nights, enabling late night transportation seekers to have an alternative to taxis.</t>
        </is>
      </c>
      <c r="G215" s="15" t="inlineStr">
        <is>
          <t>Consumer Products and Services (B2C)</t>
        </is>
      </c>
      <c r="H215" s="16" t="inlineStr">
        <is>
          <t>Media</t>
        </is>
      </c>
      <c r="I215" s="17" t="inlineStr">
        <is>
          <t>Publishing</t>
        </is>
      </c>
      <c r="J215" s="18" t="inlineStr">
        <is>
          <t>Publishing*; Internet Retail; Other Transportation; Application Software; Social/Platform Software</t>
        </is>
      </c>
      <c r="K215" s="19" t="inlineStr">
        <is>
          <t>E-Commerce, LOHAS &amp; Wellness, Mobile</t>
        </is>
      </c>
      <c r="L215" s="20" t="inlineStr">
        <is>
          <t>Venture Capital-Backed</t>
        </is>
      </c>
      <c r="M215" s="21" t="n">
        <v>10.44</v>
      </c>
      <c r="N215" s="22" t="inlineStr">
        <is>
          <t>Generating Revenue/Not Profitable</t>
        </is>
      </c>
      <c r="O215" s="23" t="inlineStr">
        <is>
          <t>Privately Held (backing)</t>
        </is>
      </c>
      <c r="P215" s="24" t="inlineStr">
        <is>
          <t>Venture Capital</t>
        </is>
      </c>
      <c r="Q215" s="25" t="inlineStr">
        <is>
          <t>www.heetch.com</t>
        </is>
      </c>
      <c r="R215" s="26" t="n">
        <v>20.0</v>
      </c>
      <c r="S215" s="27" t="inlineStr">
        <is>
          <t/>
        </is>
      </c>
      <c r="T215" s="28" t="inlineStr">
        <is>
          <t/>
        </is>
      </c>
      <c r="U215" s="29" t="n">
        <v>2013.0</v>
      </c>
      <c r="V215" s="30" t="inlineStr">
        <is>
          <t/>
        </is>
      </c>
      <c r="W215" s="31" t="inlineStr">
        <is>
          <t/>
        </is>
      </c>
      <c r="X215" s="32" t="inlineStr">
        <is>
          <t/>
        </is>
      </c>
      <c r="Y215" s="33" t="n">
        <v>1.78234</v>
      </c>
      <c r="Z215" s="34" t="inlineStr">
        <is>
          <t/>
        </is>
      </c>
      <c r="AA215" s="35" t="n">
        <v>-0.00919</v>
      </c>
      <c r="AB215" s="36" t="inlineStr">
        <is>
          <t/>
        </is>
      </c>
      <c r="AC215" s="37" t="inlineStr">
        <is>
          <t/>
        </is>
      </c>
      <c r="AD215" s="38" t="inlineStr">
        <is>
          <t>FY 2015</t>
        </is>
      </c>
      <c r="AE215" s="39" t="inlineStr">
        <is>
          <t>94382-74P</t>
        </is>
      </c>
      <c r="AF215" s="40" t="inlineStr">
        <is>
          <t>Mathieu Jacob</t>
        </is>
      </c>
      <c r="AG215" s="41" t="inlineStr">
        <is>
          <t>Co-Founder</t>
        </is>
      </c>
      <c r="AH215" s="42" t="inlineStr">
        <is>
          <t>mathieu@heetch.com</t>
        </is>
      </c>
      <c r="AI215" s="43" t="inlineStr">
        <is>
          <t/>
        </is>
      </c>
      <c r="AJ215" s="44" t="inlineStr">
        <is>
          <t>Paris, France</t>
        </is>
      </c>
      <c r="AK215" s="45" t="inlineStr">
        <is>
          <t>71 Rue St. Louis En L'ile</t>
        </is>
      </c>
      <c r="AL215" s="46" t="inlineStr">
        <is>
          <t/>
        </is>
      </c>
      <c r="AM215" s="47" t="inlineStr">
        <is>
          <t>Paris</t>
        </is>
      </c>
      <c r="AN215" s="48" t="inlineStr">
        <is>
          <t/>
        </is>
      </c>
      <c r="AO215" s="49" t="inlineStr">
        <is>
          <t>75004</t>
        </is>
      </c>
      <c r="AP215" s="50" t="inlineStr">
        <is>
          <t>France</t>
        </is>
      </c>
      <c r="AQ215" s="51" t="inlineStr">
        <is>
          <t/>
        </is>
      </c>
      <c r="AR215" s="52" t="inlineStr">
        <is>
          <t/>
        </is>
      </c>
      <c r="AS215" s="53" t="inlineStr">
        <is>
          <t>contact@heetch.com</t>
        </is>
      </c>
      <c r="AT215" s="54" t="inlineStr">
        <is>
          <t>Europe</t>
        </is>
      </c>
      <c r="AU215" s="55" t="inlineStr">
        <is>
          <t>Western Europe</t>
        </is>
      </c>
      <c r="AV215" s="56" t="inlineStr">
        <is>
          <t>The company raised $12 million of venture funding in a deal led by Felix Capital on September 28, 2017. Via-ID, Alven Capital Partners and Felix Capital also participated in the round. The funds will be used to rebuild the service under a new model called LE Base and strengthen the team and accelerate the comapnys expansion on the French and international markets.</t>
        </is>
      </c>
      <c r="AW215" s="57" t="inlineStr">
        <is>
          <t>Alven Capital Partners, Felix Capital, Kima Ventures, TheFamily, Via-ID</t>
        </is>
      </c>
      <c r="AX215" s="58" t="n">
        <v>5.0</v>
      </c>
      <c r="AY215" s="59" t="inlineStr">
        <is>
          <t/>
        </is>
      </c>
      <c r="AZ215" s="60" t="inlineStr">
        <is>
          <t/>
        </is>
      </c>
      <c r="BA215" s="61" t="inlineStr">
        <is>
          <t/>
        </is>
      </c>
      <c r="BB215" s="62" t="inlineStr">
        <is>
          <t>Alven Capital Partners (www.alven.co), Felix Capital (www.felixcap.com), Kima Ventures (www.kimaventures.com), TheFamily (www.thefamily.co)</t>
        </is>
      </c>
      <c r="BC215" s="63" t="inlineStr">
        <is>
          <t/>
        </is>
      </c>
      <c r="BD215" s="64" t="inlineStr">
        <is>
          <t/>
        </is>
      </c>
      <c r="BE215" s="65" t="inlineStr">
        <is>
          <t>Orrick, Herrington &amp; Sutcliffe (Legal Advisor)</t>
        </is>
      </c>
      <c r="BF215" s="66" t="inlineStr">
        <is>
          <t>Orrick, Herrington &amp; Sutcliffe (Legal Advisor)</t>
        </is>
      </c>
      <c r="BG215" s="67" t="n">
        <v>41814.0</v>
      </c>
      <c r="BH215" s="68" t="n">
        <v>0.37</v>
      </c>
      <c r="BI215" s="69" t="inlineStr">
        <is>
          <t>Actual</t>
        </is>
      </c>
      <c r="BJ215" s="70" t="inlineStr">
        <is>
          <t/>
        </is>
      </c>
      <c r="BK215" s="71" t="inlineStr">
        <is>
          <t/>
        </is>
      </c>
      <c r="BL215" s="72" t="inlineStr">
        <is>
          <t>Early Stage VC</t>
        </is>
      </c>
      <c r="BM215" s="73" t="inlineStr">
        <is>
          <t/>
        </is>
      </c>
      <c r="BN215" s="74" t="inlineStr">
        <is>
          <t/>
        </is>
      </c>
      <c r="BO215" s="75" t="inlineStr">
        <is>
          <t>Venture Capital</t>
        </is>
      </c>
      <c r="BP215" s="76" t="inlineStr">
        <is>
          <t/>
        </is>
      </c>
      <c r="BQ215" s="77" t="inlineStr">
        <is>
          <t/>
        </is>
      </c>
      <c r="BR215" s="78" t="inlineStr">
        <is>
          <t/>
        </is>
      </c>
      <c r="BS215" s="79" t="inlineStr">
        <is>
          <t>Completed</t>
        </is>
      </c>
      <c r="BT215" s="80" t="n">
        <v>43006.0</v>
      </c>
      <c r="BU215" s="81" t="n">
        <v>10.07</v>
      </c>
      <c r="BV215" s="82" t="inlineStr">
        <is>
          <t>Actual</t>
        </is>
      </c>
      <c r="BW215" s="83" t="inlineStr">
        <is>
          <t/>
        </is>
      </c>
      <c r="BX215" s="84" t="inlineStr">
        <is>
          <t/>
        </is>
      </c>
      <c r="BY215" s="85" t="inlineStr">
        <is>
          <t>Early Stage VC</t>
        </is>
      </c>
      <c r="BZ215" s="86" t="inlineStr">
        <is>
          <t/>
        </is>
      </c>
      <c r="CA215" s="87" t="inlineStr">
        <is>
          <t/>
        </is>
      </c>
      <c r="CB215" s="88" t="inlineStr">
        <is>
          <t>Venture Capital</t>
        </is>
      </c>
      <c r="CC215" s="89" t="inlineStr">
        <is>
          <t/>
        </is>
      </c>
      <c r="CD215" s="90" t="inlineStr">
        <is>
          <t/>
        </is>
      </c>
      <c r="CE215" s="91" t="inlineStr">
        <is>
          <t/>
        </is>
      </c>
      <c r="CF215" s="92" t="inlineStr">
        <is>
          <t>Completed</t>
        </is>
      </c>
      <c r="CG215" s="93" t="inlineStr">
        <is>
          <t>-4,05%</t>
        </is>
      </c>
      <c r="CH215" s="94" t="inlineStr">
        <is>
          <t>5</t>
        </is>
      </c>
      <c r="CI215" s="95" t="inlineStr">
        <is>
          <t>0,11%</t>
        </is>
      </c>
      <c r="CJ215" s="96" t="inlineStr">
        <is>
          <t>2,58%</t>
        </is>
      </c>
      <c r="CK215" s="97" t="inlineStr">
        <is>
          <t>-8,35%</t>
        </is>
      </c>
      <c r="CL215" s="98" t="inlineStr">
        <is>
          <t>4</t>
        </is>
      </c>
      <c r="CM215" s="99" t="inlineStr">
        <is>
          <t>0,25%</t>
        </is>
      </c>
      <c r="CN215" s="100" t="inlineStr">
        <is>
          <t>76</t>
        </is>
      </c>
      <c r="CO215" s="101" t="inlineStr">
        <is>
          <t>-19,15%</t>
        </is>
      </c>
      <c r="CP215" s="102" t="inlineStr">
        <is>
          <t>6</t>
        </is>
      </c>
      <c r="CQ215" s="103" t="inlineStr">
        <is>
          <t>2,45%</t>
        </is>
      </c>
      <c r="CR215" s="104" t="inlineStr">
        <is>
          <t>96</t>
        </is>
      </c>
      <c r="CS215" s="105" t="inlineStr">
        <is>
          <t>0,45%</t>
        </is>
      </c>
      <c r="CT215" s="106" t="inlineStr">
        <is>
          <t>85</t>
        </is>
      </c>
      <c r="CU215" s="107" t="inlineStr">
        <is>
          <t>0,05%</t>
        </is>
      </c>
      <c r="CV215" s="108" t="inlineStr">
        <is>
          <t>59</t>
        </is>
      </c>
      <c r="CW215" s="109" t="inlineStr">
        <is>
          <t>32,58x</t>
        </is>
      </c>
      <c r="CX215" s="110" t="inlineStr">
        <is>
          <t>95</t>
        </is>
      </c>
      <c r="CY215" s="111" t="inlineStr">
        <is>
          <t>-0,06x</t>
        </is>
      </c>
      <c r="CZ215" s="112" t="inlineStr">
        <is>
          <t>-0,19%</t>
        </is>
      </c>
      <c r="DA215" s="113" t="inlineStr">
        <is>
          <t>7,18x</t>
        </is>
      </c>
      <c r="DB215" s="114" t="inlineStr">
        <is>
          <t>86</t>
        </is>
      </c>
      <c r="DC215" s="115" t="inlineStr">
        <is>
          <t>57,98x</t>
        </is>
      </c>
      <c r="DD215" s="116" t="inlineStr">
        <is>
          <t>95</t>
        </is>
      </c>
      <c r="DE215" s="117" t="inlineStr">
        <is>
          <t>0,97x</t>
        </is>
      </c>
      <c r="DF215" s="118" t="inlineStr">
        <is>
          <t>50</t>
        </is>
      </c>
      <c r="DG215" s="119" t="inlineStr">
        <is>
          <t>13,39x</t>
        </is>
      </c>
      <c r="DH215" s="120" t="inlineStr">
        <is>
          <t>90</t>
        </is>
      </c>
      <c r="DI215" s="121" t="inlineStr">
        <is>
          <t>97,96x</t>
        </is>
      </c>
      <c r="DJ215" s="122" t="inlineStr">
        <is>
          <t>95</t>
        </is>
      </c>
      <c r="DK215" s="123" t="inlineStr">
        <is>
          <t>18,00x</t>
        </is>
      </c>
      <c r="DL215" s="124" t="inlineStr">
        <is>
          <t>92</t>
        </is>
      </c>
      <c r="DM215" s="125" t="inlineStr">
        <is>
          <t>355</t>
        </is>
      </c>
      <c r="DN215" s="126" t="inlineStr">
        <is>
          <t>27</t>
        </is>
      </c>
      <c r="DO215" s="127" t="inlineStr">
        <is>
          <t>8,23%</t>
        </is>
      </c>
      <c r="DP215" s="128" t="inlineStr">
        <is>
          <t>77.470</t>
        </is>
      </c>
      <c r="DQ215" s="129" t="inlineStr">
        <is>
          <t>201</t>
        </is>
      </c>
      <c r="DR215" s="130" t="inlineStr">
        <is>
          <t>0,26%</t>
        </is>
      </c>
      <c r="DS215" s="131" t="inlineStr">
        <is>
          <t>477</t>
        </is>
      </c>
      <c r="DT215" s="132" t="inlineStr">
        <is>
          <t>11</t>
        </is>
      </c>
      <c r="DU215" s="133" t="inlineStr">
        <is>
          <t>2,36%</t>
        </is>
      </c>
      <c r="DV215" s="134" t="inlineStr">
        <is>
          <t>6.726</t>
        </is>
      </c>
      <c r="DW215" s="135" t="inlineStr">
        <is>
          <t>8</t>
        </is>
      </c>
      <c r="DX215" s="136" t="inlineStr">
        <is>
          <t>0,12%</t>
        </is>
      </c>
      <c r="DY215" s="137" t="inlineStr">
        <is>
          <t>PitchBook Research</t>
        </is>
      </c>
      <c r="DZ215" s="785">
        <f>HYPERLINK("https://my.pitchbook.com?c=64233-28", "View company online")</f>
      </c>
    </row>
    <row r="216">
      <c r="A216" s="139" t="inlineStr">
        <is>
          <t>151347-97</t>
        </is>
      </c>
      <c r="B216" s="140" t="inlineStr">
        <is>
          <t>BMLL</t>
        </is>
      </c>
      <c r="C216" s="141" t="inlineStr">
        <is>
          <t/>
        </is>
      </c>
      <c r="D216" s="142" t="inlineStr">
        <is>
          <t/>
        </is>
      </c>
      <c r="E216" s="143" t="inlineStr">
        <is>
          <t>151347-97</t>
        </is>
      </c>
      <c r="F216" s="144" t="inlineStr">
        <is>
          <t>Provider of a limit order book data and analytics platform designed to enable research scientists to immediately lever their statistical skills to quickly and efficiently investigate the problems their organization faces. The company's platform uses advanced machine learning and inference frameworks to help clients analyse limit order book data from a wide range of global financial markets and offers a suite of toolboxes which address common limit order book problems, enabling clients to better manage risk, understand strategies and optimize systems.</t>
        </is>
      </c>
      <c r="G216" s="145" t="inlineStr">
        <is>
          <t>Information Technology</t>
        </is>
      </c>
      <c r="H216" s="146" t="inlineStr">
        <is>
          <t>Software</t>
        </is>
      </c>
      <c r="I216" s="147" t="inlineStr">
        <is>
          <t>Database Software</t>
        </is>
      </c>
      <c r="J216" s="148" t="inlineStr">
        <is>
          <t>Database Software*; Business/Productivity Software</t>
        </is>
      </c>
      <c r="K216" s="149" t="inlineStr">
        <is>
          <t>Artificial Intelligence &amp; Machine Learning, Big Data, FinTech, SaaS</t>
        </is>
      </c>
      <c r="L216" s="150" t="inlineStr">
        <is>
          <t>Venture Capital-Backed</t>
        </is>
      </c>
      <c r="M216" s="151" t="n">
        <v>10.71</v>
      </c>
      <c r="N216" s="152" t="inlineStr">
        <is>
          <t>Generating Revenue</t>
        </is>
      </c>
      <c r="O216" s="153" t="inlineStr">
        <is>
          <t>Privately Held (backing)</t>
        </is>
      </c>
      <c r="P216" s="154" t="inlineStr">
        <is>
          <t>Venture Capital</t>
        </is>
      </c>
      <c r="Q216" s="155" t="inlineStr">
        <is>
          <t>www.bmlltech.com</t>
        </is>
      </c>
      <c r="R216" s="156" t="n">
        <v>25.0</v>
      </c>
      <c r="S216" s="157" t="inlineStr">
        <is>
          <t/>
        </is>
      </c>
      <c r="T216" s="158" t="inlineStr">
        <is>
          <t/>
        </is>
      </c>
      <c r="U216" s="159" t="n">
        <v>2014.0</v>
      </c>
      <c r="V216" s="160" t="inlineStr">
        <is>
          <t/>
        </is>
      </c>
      <c r="W216" s="161" t="inlineStr">
        <is>
          <t/>
        </is>
      </c>
      <c r="X216" s="162" t="inlineStr">
        <is>
          <t/>
        </is>
      </c>
      <c r="Y216" s="163" t="n">
        <v>0.00935</v>
      </c>
      <c r="Z216" s="164" t="n">
        <v>0.00935</v>
      </c>
      <c r="AA216" s="165" t="n">
        <v>-2.81322</v>
      </c>
      <c r="AB216" s="166" t="inlineStr">
        <is>
          <t/>
        </is>
      </c>
      <c r="AC216" s="167" t="n">
        <v>-3.04688</v>
      </c>
      <c r="AD216" s="168" t="inlineStr">
        <is>
          <t>FY 2017</t>
        </is>
      </c>
      <c r="AE216" s="169" t="inlineStr">
        <is>
          <t>125123-41P</t>
        </is>
      </c>
      <c r="AF216" s="170" t="inlineStr">
        <is>
          <t>Nigel Edgerton</t>
        </is>
      </c>
      <c r="AG216" s="171" t="inlineStr">
        <is>
          <t>Chief Financial Officer</t>
        </is>
      </c>
      <c r="AH216" s="172" t="inlineStr">
        <is>
          <t>nigeledgerton@bmlltech.com</t>
        </is>
      </c>
      <c r="AI216" s="173" t="inlineStr">
        <is>
          <t>+44 (0)20 3828 9000</t>
        </is>
      </c>
      <c r="AJ216" s="174" t="inlineStr">
        <is>
          <t>London, United Kingdom</t>
        </is>
      </c>
      <c r="AK216" s="175" t="inlineStr">
        <is>
          <t>36 Broadway</t>
        </is>
      </c>
      <c r="AL216" s="176" t="inlineStr">
        <is>
          <t/>
        </is>
      </c>
      <c r="AM216" s="177" t="inlineStr">
        <is>
          <t>London</t>
        </is>
      </c>
      <c r="AN216" s="178" t="inlineStr">
        <is>
          <t>England</t>
        </is>
      </c>
      <c r="AO216" s="179" t="inlineStr">
        <is>
          <t>SW1H 0BH</t>
        </is>
      </c>
      <c r="AP216" s="180" t="inlineStr">
        <is>
          <t>United Kingdom</t>
        </is>
      </c>
      <c r="AQ216" s="181" t="inlineStr">
        <is>
          <t>+44 (0)20 3828 9000</t>
        </is>
      </c>
      <c r="AR216" s="182" t="inlineStr">
        <is>
          <t/>
        </is>
      </c>
      <c r="AS216" s="183" t="inlineStr">
        <is>
          <t>info@bmlltech.com</t>
        </is>
      </c>
      <c r="AT216" s="184" t="inlineStr">
        <is>
          <t>Europe</t>
        </is>
      </c>
      <c r="AU216" s="185" t="inlineStr">
        <is>
          <t>Western Europe</t>
        </is>
      </c>
      <c r="AV216" s="186" t="inlineStr">
        <is>
          <t>The company raised GBP 7 million of venture funding from Oceanwood Capital Management, IQ Capital Partners and Angel CoFund on October 9, 2017, putting the pre-money valuation at GBP 24.13 million. Samos Investments also participated in the round.</t>
        </is>
      </c>
      <c r="AW216" s="187" t="inlineStr">
        <is>
          <t>Angel CoFund, Bank of England, Force Over Mass Capital, IQ Capital Partners, Oceanwood Capital Management, Paddy Dear, Samos Investments</t>
        </is>
      </c>
      <c r="AX216" s="188" t="n">
        <v>7.0</v>
      </c>
      <c r="AY216" s="189" t="inlineStr">
        <is>
          <t/>
        </is>
      </c>
      <c r="AZ216" s="190" t="inlineStr">
        <is>
          <t/>
        </is>
      </c>
      <c r="BA216" s="191" t="inlineStr">
        <is>
          <t/>
        </is>
      </c>
      <c r="BB216" s="192" t="inlineStr">
        <is>
          <t>Angel CoFund (www.angelcofund.co.uk), Bank of England (www.bankofengland.co.uk), Force Over Mass Capital (www.fomcap.com), IQ Capital Partners (www.iqcapital.vc), Oceanwood Capital Management (www.oceanwood.com), Samos Investments (www.samos.uk.com)</t>
        </is>
      </c>
      <c r="BC216" s="193" t="inlineStr">
        <is>
          <t/>
        </is>
      </c>
      <c r="BD216" s="194" t="inlineStr">
        <is>
          <t/>
        </is>
      </c>
      <c r="BE216" s="195" t="inlineStr">
        <is>
          <t>Charles Russell Speechlys (Legal Advisor), Crowe Clark Whitehill (Auditor), Barclays Bank (General Business Banking)</t>
        </is>
      </c>
      <c r="BF216" s="196" t="inlineStr">
        <is>
          <t/>
        </is>
      </c>
      <c r="BG216" s="197" t="n">
        <v>42005.0</v>
      </c>
      <c r="BH216" s="198" t="inlineStr">
        <is>
          <t/>
        </is>
      </c>
      <c r="BI216" s="199" t="inlineStr">
        <is>
          <t/>
        </is>
      </c>
      <c r="BJ216" s="200" t="inlineStr">
        <is>
          <t/>
        </is>
      </c>
      <c r="BK216" s="201" t="inlineStr">
        <is>
          <t/>
        </is>
      </c>
      <c r="BL216" s="202" t="inlineStr">
        <is>
          <t>Accelerator/Incubator</t>
        </is>
      </c>
      <c r="BM216" s="203" t="inlineStr">
        <is>
          <t/>
        </is>
      </c>
      <c r="BN216" s="204" t="inlineStr">
        <is>
          <t/>
        </is>
      </c>
      <c r="BO216" s="205" t="inlineStr">
        <is>
          <t>Other</t>
        </is>
      </c>
      <c r="BP216" s="206" t="inlineStr">
        <is>
          <t/>
        </is>
      </c>
      <c r="BQ216" s="207" t="inlineStr">
        <is>
          <t/>
        </is>
      </c>
      <c r="BR216" s="208" t="inlineStr">
        <is>
          <t/>
        </is>
      </c>
      <c r="BS216" s="209" t="inlineStr">
        <is>
          <t>Completed</t>
        </is>
      </c>
      <c r="BT216" s="210" t="n">
        <v>43017.0</v>
      </c>
      <c r="BU216" s="211" t="n">
        <v>7.86</v>
      </c>
      <c r="BV216" s="212" t="inlineStr">
        <is>
          <t>Actual</t>
        </is>
      </c>
      <c r="BW216" s="213" t="n">
        <v>34.96</v>
      </c>
      <c r="BX216" s="214" t="inlineStr">
        <is>
          <t>Actual</t>
        </is>
      </c>
      <c r="BY216" s="215" t="inlineStr">
        <is>
          <t>Early Stage VC</t>
        </is>
      </c>
      <c r="BZ216" s="216" t="inlineStr">
        <is>
          <t/>
        </is>
      </c>
      <c r="CA216" s="217" t="inlineStr">
        <is>
          <t/>
        </is>
      </c>
      <c r="CB216" s="218" t="inlineStr">
        <is>
          <t>Venture Capital</t>
        </is>
      </c>
      <c r="CC216" s="219" t="inlineStr">
        <is>
          <t/>
        </is>
      </c>
      <c r="CD216" s="220" t="inlineStr">
        <is>
          <t/>
        </is>
      </c>
      <c r="CE216" s="221" t="inlineStr">
        <is>
          <t/>
        </is>
      </c>
      <c r="CF216" s="222" t="inlineStr">
        <is>
          <t>Completed</t>
        </is>
      </c>
      <c r="CG216" s="223" t="inlineStr">
        <is>
          <t>-0,01%</t>
        </is>
      </c>
      <c r="CH216" s="224" t="inlineStr">
        <is>
          <t>31</t>
        </is>
      </c>
      <c r="CI216" s="225" t="inlineStr">
        <is>
          <t>0,01%</t>
        </is>
      </c>
      <c r="CJ216" s="226" t="inlineStr">
        <is>
          <t>52,84%</t>
        </is>
      </c>
      <c r="CK216" s="227" t="inlineStr">
        <is>
          <t>0,00%</t>
        </is>
      </c>
      <c r="CL216" s="228" t="inlineStr">
        <is>
          <t>28</t>
        </is>
      </c>
      <c r="CM216" s="229" t="inlineStr">
        <is>
          <t>-0,02%</t>
        </is>
      </c>
      <c r="CN216" s="230" t="inlineStr">
        <is>
          <t>15</t>
        </is>
      </c>
      <c r="CO216" s="231" t="inlineStr">
        <is>
          <t>0,00%</t>
        </is>
      </c>
      <c r="CP216" s="232" t="inlineStr">
        <is>
          <t>37</t>
        </is>
      </c>
      <c r="CQ216" s="233" t="inlineStr">
        <is>
          <t>0,00%</t>
        </is>
      </c>
      <c r="CR216" s="234" t="inlineStr">
        <is>
          <t>20</t>
        </is>
      </c>
      <c r="CS216" s="235" t="inlineStr">
        <is>
          <t>-0,08%</t>
        </is>
      </c>
      <c r="CT216" s="236" t="inlineStr">
        <is>
          <t>4</t>
        </is>
      </c>
      <c r="CU216" s="237" t="inlineStr">
        <is>
          <t>0,05%</t>
        </is>
      </c>
      <c r="CV216" s="238" t="inlineStr">
        <is>
          <t>59</t>
        </is>
      </c>
      <c r="CW216" s="239" t="inlineStr">
        <is>
          <t>1,20x</t>
        </is>
      </c>
      <c r="CX216" s="240" t="inlineStr">
        <is>
          <t>53</t>
        </is>
      </c>
      <c r="CY216" s="241" t="inlineStr">
        <is>
          <t>-0,01x</t>
        </is>
      </c>
      <c r="CZ216" s="242" t="inlineStr">
        <is>
          <t>-0,73%</t>
        </is>
      </c>
      <c r="DA216" s="243" t="inlineStr">
        <is>
          <t>0,60x</t>
        </is>
      </c>
      <c r="DB216" s="244" t="inlineStr">
        <is>
          <t>39</t>
        </is>
      </c>
      <c r="DC216" s="245" t="inlineStr">
        <is>
          <t>1,79x</t>
        </is>
      </c>
      <c r="DD216" s="246" t="inlineStr">
        <is>
          <t>60</t>
        </is>
      </c>
      <c r="DE216" s="247" t="inlineStr">
        <is>
          <t>0,87x</t>
        </is>
      </c>
      <c r="DF216" s="248" t="inlineStr">
        <is>
          <t>47</t>
        </is>
      </c>
      <c r="DG216" s="249" t="inlineStr">
        <is>
          <t>0,33x</t>
        </is>
      </c>
      <c r="DH216" s="250" t="inlineStr">
        <is>
          <t>27</t>
        </is>
      </c>
      <c r="DI216" s="251" t="inlineStr">
        <is>
          <t>0,60x</t>
        </is>
      </c>
      <c r="DJ216" s="252" t="inlineStr">
        <is>
          <t>42</t>
        </is>
      </c>
      <c r="DK216" s="253" t="inlineStr">
        <is>
          <t>2,98x</t>
        </is>
      </c>
      <c r="DL216" s="254" t="inlineStr">
        <is>
          <t>71</t>
        </is>
      </c>
      <c r="DM216" s="255" t="inlineStr">
        <is>
          <t>332</t>
        </is>
      </c>
      <c r="DN216" s="256" t="inlineStr">
        <is>
          <t>-24</t>
        </is>
      </c>
      <c r="DO216" s="257" t="inlineStr">
        <is>
          <t>-6,74%</t>
        </is>
      </c>
      <c r="DP216" s="258" t="inlineStr">
        <is>
          <t>474</t>
        </is>
      </c>
      <c r="DQ216" s="259" t="inlineStr">
        <is>
          <t>0</t>
        </is>
      </c>
      <c r="DR216" s="260" t="inlineStr">
        <is>
          <t>0,00%</t>
        </is>
      </c>
      <c r="DS216" s="261" t="inlineStr">
        <is>
          <t>12</t>
        </is>
      </c>
      <c r="DT216" s="262" t="inlineStr">
        <is>
          <t>0</t>
        </is>
      </c>
      <c r="DU216" s="263" t="inlineStr">
        <is>
          <t>0,00%</t>
        </is>
      </c>
      <c r="DV216" s="264" t="inlineStr">
        <is>
          <t>1.112</t>
        </is>
      </c>
      <c r="DW216" s="265" t="inlineStr">
        <is>
          <t>0</t>
        </is>
      </c>
      <c r="DX216" s="266" t="inlineStr">
        <is>
          <t>0,00%</t>
        </is>
      </c>
      <c r="DY216" s="267" t="inlineStr">
        <is>
          <t>PitchBook Research</t>
        </is>
      </c>
      <c r="DZ216" s="786">
        <f>HYPERLINK("https://my.pitchbook.com?c=151347-97", "View company online")</f>
      </c>
    </row>
    <row r="217">
      <c r="A217" s="9" t="inlineStr">
        <is>
          <t>102384-01</t>
        </is>
      </c>
      <c r="B217" s="10" t="inlineStr">
        <is>
          <t>DogBuddy</t>
        </is>
      </c>
      <c r="C217" s="11" t="inlineStr">
        <is>
          <t>myDogBuddy</t>
        </is>
      </c>
      <c r="D217" s="12" t="inlineStr">
        <is>
          <t/>
        </is>
      </c>
      <c r="E217" s="13" t="inlineStr">
        <is>
          <t>102384-01</t>
        </is>
      </c>
      <c r="F217" s="14" t="inlineStr">
        <is>
          <t>Provider of an online marketplace designed to connect dog owners with reliable dog sitters. The company's peer-to-peer marketplace for dog home boarding connects dog owners with vetted, insured and reviewed dog sitters in their local area and helps users to find and book doggy day care, home dog boarding and dog walking, enabling busy dog owners to find local and reliable dog sitters to take care of their dogs whilst they're away from home.</t>
        </is>
      </c>
      <c r="G217" s="15" t="inlineStr">
        <is>
          <t>Information Technology</t>
        </is>
      </c>
      <c r="H217" s="16" t="inlineStr">
        <is>
          <t>Software</t>
        </is>
      </c>
      <c r="I217" s="17" t="inlineStr">
        <is>
          <t>Application Software</t>
        </is>
      </c>
      <c r="J217" s="18" t="inlineStr">
        <is>
          <t>Application Software*; Other Commercial Services; Social/Platform Software</t>
        </is>
      </c>
      <c r="K217" s="19" t="inlineStr">
        <is>
          <t>Mobile</t>
        </is>
      </c>
      <c r="L217" s="20" t="inlineStr">
        <is>
          <t>Venture Capital-Backed</t>
        </is>
      </c>
      <c r="M217" s="21" t="n">
        <v>10.86</v>
      </c>
      <c r="N217" s="22" t="inlineStr">
        <is>
          <t>Generating Revenue</t>
        </is>
      </c>
      <c r="O217" s="23" t="inlineStr">
        <is>
          <t>Privately Held (backing)</t>
        </is>
      </c>
      <c r="P217" s="24" t="inlineStr">
        <is>
          <t>Venture Capital</t>
        </is>
      </c>
      <c r="Q217" s="25" t="inlineStr">
        <is>
          <t>www.uk.dogbuddy.com</t>
        </is>
      </c>
      <c r="R217" s="26" t="n">
        <v>39.0</v>
      </c>
      <c r="S217" s="27" t="inlineStr">
        <is>
          <t/>
        </is>
      </c>
      <c r="T217" s="28" t="inlineStr">
        <is>
          <t/>
        </is>
      </c>
      <c r="U217" s="29" t="n">
        <v>2013.0</v>
      </c>
      <c r="V217" s="30" t="inlineStr">
        <is>
          <t/>
        </is>
      </c>
      <c r="W217" s="31" t="inlineStr">
        <is>
          <t/>
        </is>
      </c>
      <c r="X217" s="32" t="inlineStr">
        <is>
          <t/>
        </is>
      </c>
      <c r="Y217" s="33" t="n">
        <v>2.16727</v>
      </c>
      <c r="Z217" s="34" t="inlineStr">
        <is>
          <t/>
        </is>
      </c>
      <c r="AA217" s="35" t="inlineStr">
        <is>
          <t/>
        </is>
      </c>
      <c r="AB217" s="36" t="inlineStr">
        <is>
          <t/>
        </is>
      </c>
      <c r="AC217" s="37" t="inlineStr">
        <is>
          <t/>
        </is>
      </c>
      <c r="AD217" s="38" t="inlineStr">
        <is>
          <t>FY 2014</t>
        </is>
      </c>
      <c r="AE217" s="39" t="inlineStr">
        <is>
          <t>100597-15P</t>
        </is>
      </c>
      <c r="AF217" s="40" t="inlineStr">
        <is>
          <t>Facundo Villaveiran</t>
        </is>
      </c>
      <c r="AG217" s="41" t="inlineStr">
        <is>
          <t>Chief Product Officer</t>
        </is>
      </c>
      <c r="AH217" s="42" t="inlineStr">
        <is>
          <t>facundo@dogbuddy.com</t>
        </is>
      </c>
      <c r="AI217" s="43" t="inlineStr">
        <is>
          <t>+44 (0)33 3344 1993</t>
        </is>
      </c>
      <c r="AJ217" s="44" t="inlineStr">
        <is>
          <t>London, United Kingdom</t>
        </is>
      </c>
      <c r="AK217" s="45" t="inlineStr">
        <is>
          <t>9th Floor</t>
        </is>
      </c>
      <c r="AL217" s="46" t="inlineStr">
        <is>
          <t>107 Cheapside</t>
        </is>
      </c>
      <c r="AM217" s="47" t="inlineStr">
        <is>
          <t>London</t>
        </is>
      </c>
      <c r="AN217" s="48" t="inlineStr">
        <is>
          <t>England</t>
        </is>
      </c>
      <c r="AO217" s="49" t="inlineStr">
        <is>
          <t>EC2V 6DN</t>
        </is>
      </c>
      <c r="AP217" s="50" t="inlineStr">
        <is>
          <t>United Kingdom</t>
        </is>
      </c>
      <c r="AQ217" s="51" t="inlineStr">
        <is>
          <t>+44 (0)33 3344 1993</t>
        </is>
      </c>
      <c r="AR217" s="52" t="inlineStr">
        <is>
          <t/>
        </is>
      </c>
      <c r="AS217" s="53" t="inlineStr">
        <is>
          <t>help@dogbuddy.com</t>
        </is>
      </c>
      <c r="AT217" s="54" t="inlineStr">
        <is>
          <t>Europe</t>
        </is>
      </c>
      <c r="AU217" s="55" t="inlineStr">
        <is>
          <t>Western Europe</t>
        </is>
      </c>
      <c r="AV217" s="56" t="inlineStr">
        <is>
          <t>The company raised EUR 5 million of Series A venture funding from lead investor Sweet Capital on September 21, 2017. Other undisclosed investors also participated in the round. The funds will be used to expand team's technical operations, geographical expansion, launch in additional European markets and to further invest in marketing and raise awareness of home dog boarding, doggy daycare and dog walking amongst dog owners.</t>
        </is>
      </c>
      <c r="AW217" s="57" t="inlineStr">
        <is>
          <t>Anders Boos, Andres Estades, Andrin Bachmann, BetaAngels Management, Caixa Capital Risc, Caphaven Partners, Cornel Riklin, Eversmarter WW, Fredrik Palmstierna, Gerard De Geer, Sweet Capital, Zaryn Dentzel</t>
        </is>
      </c>
      <c r="AX217" s="58" t="n">
        <v>12.0</v>
      </c>
      <c r="AY217" s="59" t="inlineStr">
        <is>
          <t/>
        </is>
      </c>
      <c r="AZ217" s="60" t="inlineStr">
        <is>
          <t/>
        </is>
      </c>
      <c r="BA217" s="61" t="inlineStr">
        <is>
          <t/>
        </is>
      </c>
      <c r="BB217" s="62" t="inlineStr">
        <is>
          <t>BetaAngels Management (www.beta-angels.com), Caixa Capital Risc (www.caixacapitalrisc.es), Caphaven Partners (www.caphaven.com), Sweet Capital (www.sweetcapital.com)</t>
        </is>
      </c>
      <c r="BC217" s="63" t="inlineStr">
        <is>
          <t/>
        </is>
      </c>
      <c r="BD217" s="64" t="inlineStr">
        <is>
          <t/>
        </is>
      </c>
      <c r="BE217" s="65" t="inlineStr">
        <is>
          <t>Orrick, Herrington &amp; Sutcliffe (Legal Advisor)</t>
        </is>
      </c>
      <c r="BF217" s="66" t="inlineStr">
        <is>
          <t/>
        </is>
      </c>
      <c r="BG217" s="67" t="n">
        <v>41395.0</v>
      </c>
      <c r="BH217" s="68" t="n">
        <v>0.18</v>
      </c>
      <c r="BI217" s="69" t="inlineStr">
        <is>
          <t>Actual</t>
        </is>
      </c>
      <c r="BJ217" s="70" t="inlineStr">
        <is>
          <t/>
        </is>
      </c>
      <c r="BK217" s="71" t="inlineStr">
        <is>
          <t/>
        </is>
      </c>
      <c r="BL217" s="72" t="inlineStr">
        <is>
          <t>Angel (individual)</t>
        </is>
      </c>
      <c r="BM217" s="73" t="inlineStr">
        <is>
          <t>Angel</t>
        </is>
      </c>
      <c r="BN217" s="74" t="inlineStr">
        <is>
          <t/>
        </is>
      </c>
      <c r="BO217" s="75" t="inlineStr">
        <is>
          <t>Individual</t>
        </is>
      </c>
      <c r="BP217" s="76" t="inlineStr">
        <is>
          <t/>
        </is>
      </c>
      <c r="BQ217" s="77" t="inlineStr">
        <is>
          <t/>
        </is>
      </c>
      <c r="BR217" s="78" t="inlineStr">
        <is>
          <t/>
        </is>
      </c>
      <c r="BS217" s="79" t="inlineStr">
        <is>
          <t>Completed</t>
        </is>
      </c>
      <c r="BT217" s="80" t="n">
        <v>42999.0</v>
      </c>
      <c r="BU217" s="81" t="n">
        <v>5.0</v>
      </c>
      <c r="BV217" s="82" t="inlineStr">
        <is>
          <t>Actual</t>
        </is>
      </c>
      <c r="BW217" s="83" t="inlineStr">
        <is>
          <t/>
        </is>
      </c>
      <c r="BX217" s="84" t="inlineStr">
        <is>
          <t/>
        </is>
      </c>
      <c r="BY217" s="85" t="inlineStr">
        <is>
          <t>Early Stage VC</t>
        </is>
      </c>
      <c r="BZ217" s="86" t="inlineStr">
        <is>
          <t>Series A</t>
        </is>
      </c>
      <c r="CA217" s="87" t="inlineStr">
        <is>
          <t/>
        </is>
      </c>
      <c r="CB217" s="88" t="inlineStr">
        <is>
          <t>Venture Capital</t>
        </is>
      </c>
      <c r="CC217" s="89" t="inlineStr">
        <is>
          <t/>
        </is>
      </c>
      <c r="CD217" s="90" t="inlineStr">
        <is>
          <t/>
        </is>
      </c>
      <c r="CE217" s="91" t="inlineStr">
        <is>
          <t/>
        </is>
      </c>
      <c r="CF217" s="92" t="inlineStr">
        <is>
          <t>Completed</t>
        </is>
      </c>
      <c r="CG217" s="93" t="inlineStr">
        <is>
          <t>-11,96%</t>
        </is>
      </c>
      <c r="CH217" s="94" t="inlineStr">
        <is>
          <t>1</t>
        </is>
      </c>
      <c r="CI217" s="95" t="inlineStr">
        <is>
          <t>0,00%</t>
        </is>
      </c>
      <c r="CJ217" s="96" t="inlineStr">
        <is>
          <t>0,04%</t>
        </is>
      </c>
      <c r="CK217" s="97" t="inlineStr">
        <is>
          <t>-24,06%</t>
        </is>
      </c>
      <c r="CL217" s="98" t="inlineStr">
        <is>
          <t>1</t>
        </is>
      </c>
      <c r="CM217" s="99" t="inlineStr">
        <is>
          <t>0,15%</t>
        </is>
      </c>
      <c r="CN217" s="100" t="inlineStr">
        <is>
          <t>66</t>
        </is>
      </c>
      <c r="CO217" s="101" t="inlineStr">
        <is>
          <t>-24,06%</t>
        </is>
      </c>
      <c r="CP217" s="102" t="inlineStr">
        <is>
          <t>3</t>
        </is>
      </c>
      <c r="CQ217" s="103" t="inlineStr">
        <is>
          <t/>
        </is>
      </c>
      <c r="CR217" s="104" t="inlineStr">
        <is>
          <t/>
        </is>
      </c>
      <c r="CS217" s="105" t="inlineStr">
        <is>
          <t>0,17%</t>
        </is>
      </c>
      <c r="CT217" s="106" t="inlineStr">
        <is>
          <t>66</t>
        </is>
      </c>
      <c r="CU217" s="107" t="inlineStr">
        <is>
          <t>0,13%</t>
        </is>
      </c>
      <c r="CV217" s="108" t="inlineStr">
        <is>
          <t>70</t>
        </is>
      </c>
      <c r="CW217" s="109" t="inlineStr">
        <is>
          <t>44,40x</t>
        </is>
      </c>
      <c r="CX217" s="110" t="inlineStr">
        <is>
          <t>96</t>
        </is>
      </c>
      <c r="CY217" s="111" t="inlineStr">
        <is>
          <t>-0,22x</t>
        </is>
      </c>
      <c r="CZ217" s="112" t="inlineStr">
        <is>
          <t>-0,49%</t>
        </is>
      </c>
      <c r="DA217" s="113" t="inlineStr">
        <is>
          <t>0,92x</t>
        </is>
      </c>
      <c r="DB217" s="114" t="inlineStr">
        <is>
          <t>49</t>
        </is>
      </c>
      <c r="DC217" s="115" t="inlineStr">
        <is>
          <t>87,88x</t>
        </is>
      </c>
      <c r="DD217" s="116" t="inlineStr">
        <is>
          <t>96</t>
        </is>
      </c>
      <c r="DE217" s="117" t="inlineStr">
        <is>
          <t>0,92x</t>
        </is>
      </c>
      <c r="DF217" s="118" t="inlineStr">
        <is>
          <t>48</t>
        </is>
      </c>
      <c r="DG217" s="119" t="inlineStr">
        <is>
          <t/>
        </is>
      </c>
      <c r="DH217" s="120" t="inlineStr">
        <is>
          <t/>
        </is>
      </c>
      <c r="DI217" s="121" t="inlineStr">
        <is>
          <t>156,66x</t>
        </is>
      </c>
      <c r="DJ217" s="122" t="inlineStr">
        <is>
          <t>96</t>
        </is>
      </c>
      <c r="DK217" s="123" t="inlineStr">
        <is>
          <t>19,10x</t>
        </is>
      </c>
      <c r="DL217" s="124" t="inlineStr">
        <is>
          <t>92</t>
        </is>
      </c>
      <c r="DM217" s="125" t="inlineStr">
        <is>
          <t>335</t>
        </is>
      </c>
      <c r="DN217" s="126" t="inlineStr">
        <is>
          <t>25</t>
        </is>
      </c>
      <c r="DO217" s="127" t="inlineStr">
        <is>
          <t>8,06%</t>
        </is>
      </c>
      <c r="DP217" s="128" t="inlineStr">
        <is>
          <t>123.937</t>
        </is>
      </c>
      <c r="DQ217" s="129" t="inlineStr">
        <is>
          <t>426</t>
        </is>
      </c>
      <c r="DR217" s="130" t="inlineStr">
        <is>
          <t>0,34%</t>
        </is>
      </c>
      <c r="DS217" s="131" t="inlineStr">
        <is>
          <t/>
        </is>
      </c>
      <c r="DT217" s="132" t="inlineStr">
        <is>
          <t/>
        </is>
      </c>
      <c r="DU217" s="133" t="inlineStr">
        <is>
          <t/>
        </is>
      </c>
      <c r="DV217" s="134" t="inlineStr">
        <is>
          <t>7.139</t>
        </is>
      </c>
      <c r="DW217" s="135" t="inlineStr">
        <is>
          <t>13</t>
        </is>
      </c>
      <c r="DX217" s="136" t="inlineStr">
        <is>
          <t>0,18%</t>
        </is>
      </c>
      <c r="DY217" s="137" t="inlineStr">
        <is>
          <t>PitchBook Research</t>
        </is>
      </c>
      <c r="DZ217" s="785">
        <f>HYPERLINK("https://my.pitchbook.com?c=102384-01", "View company online")</f>
      </c>
    </row>
    <row r="218">
      <c r="A218" s="139" t="inlineStr">
        <is>
          <t>151568-83</t>
        </is>
      </c>
      <c r="B218" s="140" t="inlineStr">
        <is>
          <t>CrossEngage</t>
        </is>
      </c>
      <c r="C218" s="141" t="inlineStr">
        <is>
          <t/>
        </is>
      </c>
      <c r="D218" s="142" t="inlineStr">
        <is>
          <t/>
        </is>
      </c>
      <c r="E218" s="143" t="inlineStr">
        <is>
          <t>151568-83</t>
        </is>
      </c>
      <c r="F218" s="144" t="inlineStr">
        <is>
          <t>Developer of a cloud-based open marketing platform designed to offer agile, cross-channel marketing. The company's cloud-based open marketing platform combines and integrates customer data with cross-channel campaign management capabilities, data sources and marketing channels so that the existing infrastructure does not need to be replaced, enabling businesses drive customer engagement, target customers who are about to slip away and increase customer loyalty with individual up- and cross-sell promotions.</t>
        </is>
      </c>
      <c r="G218" s="145" t="inlineStr">
        <is>
          <t>Business Products and Services (B2B)</t>
        </is>
      </c>
      <c r="H218" s="146" t="inlineStr">
        <is>
          <t>Commercial Services</t>
        </is>
      </c>
      <c r="I218" s="147" t="inlineStr">
        <is>
          <t>Media and Information Services (B2B)</t>
        </is>
      </c>
      <c r="J218" s="148" t="inlineStr">
        <is>
          <t>Media and Information Services (B2B)*; Business/Productivity Software</t>
        </is>
      </c>
      <c r="K218" s="149" t="inlineStr">
        <is>
          <t>Marketing Tech, SaaS</t>
        </is>
      </c>
      <c r="L218" s="150" t="inlineStr">
        <is>
          <t>Venture Capital-Backed</t>
        </is>
      </c>
      <c r="M218" s="151" t="n">
        <v>11.0</v>
      </c>
      <c r="N218" s="152" t="inlineStr">
        <is>
          <t>Generating Revenue</t>
        </is>
      </c>
      <c r="O218" s="153" t="inlineStr">
        <is>
          <t>Privately Held (backing)</t>
        </is>
      </c>
      <c r="P218" s="154" t="inlineStr">
        <is>
          <t>Venture Capital</t>
        </is>
      </c>
      <c r="Q218" s="155" t="inlineStr">
        <is>
          <t>www.crossengage.io</t>
        </is>
      </c>
      <c r="R218" s="156" t="n">
        <v>8.0</v>
      </c>
      <c r="S218" s="157" t="inlineStr">
        <is>
          <t/>
        </is>
      </c>
      <c r="T218" s="158" t="inlineStr">
        <is>
          <t/>
        </is>
      </c>
      <c r="U218" s="159" t="n">
        <v>2015.0</v>
      </c>
      <c r="V218" s="160" t="inlineStr">
        <is>
          <t/>
        </is>
      </c>
      <c r="W218" s="161" t="inlineStr">
        <is>
          <t/>
        </is>
      </c>
      <c r="X218" s="162" t="inlineStr">
        <is>
          <t/>
        </is>
      </c>
      <c r="Y218" s="163" t="inlineStr">
        <is>
          <t/>
        </is>
      </c>
      <c r="Z218" s="164" t="inlineStr">
        <is>
          <t/>
        </is>
      </c>
      <c r="AA218" s="165" t="inlineStr">
        <is>
          <t/>
        </is>
      </c>
      <c r="AB218" s="166" t="inlineStr">
        <is>
          <t/>
        </is>
      </c>
      <c r="AC218" s="167" t="inlineStr">
        <is>
          <t/>
        </is>
      </c>
      <c r="AD218" s="168" t="inlineStr">
        <is>
          <t/>
        </is>
      </c>
      <c r="AE218" s="169" t="inlineStr">
        <is>
          <t>52956-01P</t>
        </is>
      </c>
      <c r="AF218" s="170" t="inlineStr">
        <is>
          <t>Manuel Hinz</t>
        </is>
      </c>
      <c r="AG218" s="171" t="inlineStr">
        <is>
          <t>Co-Founder &amp; Managing Director</t>
        </is>
      </c>
      <c r="AH218" s="172" t="inlineStr">
        <is>
          <t>manuel.hinz@crossengage.io</t>
        </is>
      </c>
      <c r="AI218" s="173" t="inlineStr">
        <is>
          <t>+49 (0)30 2576 6033</t>
        </is>
      </c>
      <c r="AJ218" s="174" t="inlineStr">
        <is>
          <t>Berlin, Germany</t>
        </is>
      </c>
      <c r="AK218" s="175" t="inlineStr">
        <is>
          <t>Bertha-Benz-Str. 5</t>
        </is>
      </c>
      <c r="AL218" s="176" t="inlineStr">
        <is>
          <t/>
        </is>
      </c>
      <c r="AM218" s="177" t="inlineStr">
        <is>
          <t>Berlin</t>
        </is>
      </c>
      <c r="AN218" s="178" t="inlineStr">
        <is>
          <t/>
        </is>
      </c>
      <c r="AO218" s="179" t="inlineStr">
        <is>
          <t>10557</t>
        </is>
      </c>
      <c r="AP218" s="180" t="inlineStr">
        <is>
          <t>Germany</t>
        </is>
      </c>
      <c r="AQ218" s="181" t="inlineStr">
        <is>
          <t>+49 (0)30 2576 6033</t>
        </is>
      </c>
      <c r="AR218" s="182" t="inlineStr">
        <is>
          <t/>
        </is>
      </c>
      <c r="AS218" s="183" t="inlineStr">
        <is>
          <t>info@crossengage.io</t>
        </is>
      </c>
      <c r="AT218" s="184" t="inlineStr">
        <is>
          <t>Europe</t>
        </is>
      </c>
      <c r="AU218" s="185" t="inlineStr">
        <is>
          <t>Western Europe</t>
        </is>
      </c>
      <c r="AV218" s="186" t="inlineStr">
        <is>
          <t>The company raised EUR 5 million of venture funding in a deal led by Vorwerk Ventures and Earlybird Venture Capital on November 1, 2017. Project A Ventures, IBB Beteiligungsgesellschaft, Cavalry Ventures, 42CAPl, Capnamic Ventures, Ventech and TA Ventures also participated in the round. The funds will be used for international business growth and for the further development of technology. Previously, the company raised EUR 3.2 million of Series 2 seed funding from Earlybird Venture Capital, Project A Ventures, Capnamic Ventures and 42CAP on November 1, 2016.</t>
        </is>
      </c>
      <c r="AW218" s="187" t="inlineStr">
        <is>
          <t>42CAP, Björn Kolbmüller, Capnamic Ventures, Cavalry Ventures, David Khalil, Earlybird Venture Capital, Finn Hänsel, Heilemann Ventures, IBB Beteiligungsgesellschaft, Iris Capital Management, Johannes Schaback, Lukas Brosseder, Maik Metzen, Markus Koczy, Paul Schwarzenholz, Philipp Kreibohm, Project A Ventures, Robert Maier, TA Ventures, Ventech, Voltage Ventures, Vorwerk Ventures</t>
        </is>
      </c>
      <c r="AX218" s="188" t="n">
        <v>22.0</v>
      </c>
      <c r="AY218" s="189" t="inlineStr">
        <is>
          <t/>
        </is>
      </c>
      <c r="AZ218" s="190" t="inlineStr">
        <is>
          <t/>
        </is>
      </c>
      <c r="BA218" s="191" t="inlineStr">
        <is>
          <t/>
        </is>
      </c>
      <c r="BB218" s="192" t="inlineStr">
        <is>
          <t>42CAP (www.42cap.com), Capnamic Ventures (www.capnamic.com), Cavalry Ventures (www.cavalry.vc), Earlybird Venture Capital (www.earlybird.com), Heilemann Ventures (www.heilemann-ventures.com), IBB Beteiligungsgesellschaft (www.ibb-bet.de), Iris Capital Management (www.iriscapital.com), Project A Ventures (www.project-a.com), TA Ventures (www.taventures.vc), Ventech (www.ventechvc.com), Voltage Ventures (www.voltage.vc), Vorwerk Ventures (corporate.vorwerk.de)</t>
        </is>
      </c>
      <c r="BC218" s="193" t="inlineStr">
        <is>
          <t/>
        </is>
      </c>
      <c r="BD218" s="194" t="inlineStr">
        <is>
          <t/>
        </is>
      </c>
      <c r="BE218" s="195" t="inlineStr">
        <is>
          <t/>
        </is>
      </c>
      <c r="BF218" s="196" t="inlineStr">
        <is>
          <t/>
        </is>
      </c>
      <c r="BG218" s="197" t="n">
        <v>42339.0</v>
      </c>
      <c r="BH218" s="198" t="n">
        <v>2.8</v>
      </c>
      <c r="BI218" s="199" t="inlineStr">
        <is>
          <t>Actual</t>
        </is>
      </c>
      <c r="BJ218" s="200" t="inlineStr">
        <is>
          <t/>
        </is>
      </c>
      <c r="BK218" s="201" t="inlineStr">
        <is>
          <t/>
        </is>
      </c>
      <c r="BL218" s="202" t="inlineStr">
        <is>
          <t>Seed Round</t>
        </is>
      </c>
      <c r="BM218" s="203" t="inlineStr">
        <is>
          <t>Series 1</t>
        </is>
      </c>
      <c r="BN218" s="204" t="inlineStr">
        <is>
          <t/>
        </is>
      </c>
      <c r="BO218" s="205" t="inlineStr">
        <is>
          <t>Venture Capital</t>
        </is>
      </c>
      <c r="BP218" s="206" t="inlineStr">
        <is>
          <t/>
        </is>
      </c>
      <c r="BQ218" s="207" t="inlineStr">
        <is>
          <t/>
        </is>
      </c>
      <c r="BR218" s="208" t="inlineStr">
        <is>
          <t/>
        </is>
      </c>
      <c r="BS218" s="209" t="inlineStr">
        <is>
          <t>Completed</t>
        </is>
      </c>
      <c r="BT218" s="210" t="n">
        <v>43040.0</v>
      </c>
      <c r="BU218" s="211" t="n">
        <v>5.0</v>
      </c>
      <c r="BV218" s="212" t="inlineStr">
        <is>
          <t>Actual</t>
        </is>
      </c>
      <c r="BW218" s="213" t="inlineStr">
        <is>
          <t/>
        </is>
      </c>
      <c r="BX218" s="214" t="inlineStr">
        <is>
          <t/>
        </is>
      </c>
      <c r="BY218" s="215" t="inlineStr">
        <is>
          <t>Early Stage VC</t>
        </is>
      </c>
      <c r="BZ218" s="216" t="inlineStr">
        <is>
          <t/>
        </is>
      </c>
      <c r="CA218" s="217" t="inlineStr">
        <is>
          <t/>
        </is>
      </c>
      <c r="CB218" s="218" t="inlineStr">
        <is>
          <t>Venture Capital</t>
        </is>
      </c>
      <c r="CC218" s="219" t="inlineStr">
        <is>
          <t/>
        </is>
      </c>
      <c r="CD218" s="220" t="inlineStr">
        <is>
          <t/>
        </is>
      </c>
      <c r="CE218" s="221" t="inlineStr">
        <is>
          <t/>
        </is>
      </c>
      <c r="CF218" s="222" t="inlineStr">
        <is>
          <t>Completed</t>
        </is>
      </c>
      <c r="CG218" s="223" t="inlineStr">
        <is>
          <t>-0,89%</t>
        </is>
      </c>
      <c r="CH218" s="224" t="inlineStr">
        <is>
          <t>15</t>
        </is>
      </c>
      <c r="CI218" s="225" t="inlineStr">
        <is>
          <t>0,01%</t>
        </is>
      </c>
      <c r="CJ218" s="226" t="inlineStr">
        <is>
          <t>0,58%</t>
        </is>
      </c>
      <c r="CK218" s="227" t="inlineStr">
        <is>
          <t>-2,81%</t>
        </is>
      </c>
      <c r="CL218" s="228" t="inlineStr">
        <is>
          <t>12</t>
        </is>
      </c>
      <c r="CM218" s="229" t="inlineStr">
        <is>
          <t>1,03%</t>
        </is>
      </c>
      <c r="CN218" s="230" t="inlineStr">
        <is>
          <t>96</t>
        </is>
      </c>
      <c r="CO218" s="231" t="inlineStr">
        <is>
          <t>-8,15%</t>
        </is>
      </c>
      <c r="CP218" s="232" t="inlineStr">
        <is>
          <t>15</t>
        </is>
      </c>
      <c r="CQ218" s="233" t="inlineStr">
        <is>
          <t>2,53%</t>
        </is>
      </c>
      <c r="CR218" s="234" t="inlineStr">
        <is>
          <t>96</t>
        </is>
      </c>
      <c r="CS218" s="235" t="inlineStr">
        <is>
          <t>0,96%</t>
        </is>
      </c>
      <c r="CT218" s="236" t="inlineStr">
        <is>
          <t>94</t>
        </is>
      </c>
      <c r="CU218" s="237" t="inlineStr">
        <is>
          <t>1,10%</t>
        </is>
      </c>
      <c r="CV218" s="238" t="inlineStr">
        <is>
          <t>97</t>
        </is>
      </c>
      <c r="CW218" s="239" t="inlineStr">
        <is>
          <t>1,20x</t>
        </is>
      </c>
      <c r="CX218" s="240" t="inlineStr">
        <is>
          <t>53</t>
        </is>
      </c>
      <c r="CY218" s="241" t="inlineStr">
        <is>
          <t>0,00x</t>
        </is>
      </c>
      <c r="CZ218" s="242" t="inlineStr">
        <is>
          <t>0,24%</t>
        </is>
      </c>
      <c r="DA218" s="243" t="inlineStr">
        <is>
          <t>1,80x</t>
        </is>
      </c>
      <c r="DB218" s="244" t="inlineStr">
        <is>
          <t>64</t>
        </is>
      </c>
      <c r="DC218" s="245" t="inlineStr">
        <is>
          <t>0,60x</t>
        </is>
      </c>
      <c r="DD218" s="246" t="inlineStr">
        <is>
          <t>39</t>
        </is>
      </c>
      <c r="DE218" s="247" t="inlineStr">
        <is>
          <t>0,22x</t>
        </is>
      </c>
      <c r="DF218" s="248" t="inlineStr">
        <is>
          <t>15</t>
        </is>
      </c>
      <c r="DG218" s="249" t="inlineStr">
        <is>
          <t>3,39x</t>
        </is>
      </c>
      <c r="DH218" s="250" t="inlineStr">
        <is>
          <t>74</t>
        </is>
      </c>
      <c r="DI218" s="251" t="inlineStr">
        <is>
          <t>0,34x</t>
        </is>
      </c>
      <c r="DJ218" s="252" t="inlineStr">
        <is>
          <t>32</t>
        </is>
      </c>
      <c r="DK218" s="253" t="inlineStr">
        <is>
          <t>0,86x</t>
        </is>
      </c>
      <c r="DL218" s="254" t="inlineStr">
        <is>
          <t>48</t>
        </is>
      </c>
      <c r="DM218" s="255" t="inlineStr">
        <is>
          <t>288</t>
        </is>
      </c>
      <c r="DN218" s="256" t="inlineStr">
        <is>
          <t>-481</t>
        </is>
      </c>
      <c r="DO218" s="257" t="inlineStr">
        <is>
          <t>-62,55%</t>
        </is>
      </c>
      <c r="DP218" s="258" t="inlineStr">
        <is>
          <t>271</t>
        </is>
      </c>
      <c r="DQ218" s="259" t="inlineStr">
        <is>
          <t>2</t>
        </is>
      </c>
      <c r="DR218" s="260" t="inlineStr">
        <is>
          <t>0,74%</t>
        </is>
      </c>
      <c r="DS218" s="261" t="inlineStr">
        <is>
          <t>122</t>
        </is>
      </c>
      <c r="DT218" s="262" t="inlineStr">
        <is>
          <t>1</t>
        </is>
      </c>
      <c r="DU218" s="263" t="inlineStr">
        <is>
          <t>0,83%</t>
        </is>
      </c>
      <c r="DV218" s="264" t="inlineStr">
        <is>
          <t>313</t>
        </is>
      </c>
      <c r="DW218" s="265" t="inlineStr">
        <is>
          <t>9</t>
        </is>
      </c>
      <c r="DX218" s="266" t="inlineStr">
        <is>
          <t>2,96%</t>
        </is>
      </c>
      <c r="DY218" s="267" t="inlineStr">
        <is>
          <t>PitchBook Research</t>
        </is>
      </c>
      <c r="DZ218" s="786">
        <f>HYPERLINK("https://my.pitchbook.com?c=151568-83", "View company online")</f>
      </c>
    </row>
    <row r="219">
      <c r="A219" s="9" t="inlineStr">
        <is>
          <t>60814-45</t>
        </is>
      </c>
      <c r="B219" s="10" t="inlineStr">
        <is>
          <t>Trouva</t>
        </is>
      </c>
      <c r="C219" s="11" t="inlineStr">
        <is>
          <t>StreetHub</t>
        </is>
      </c>
      <c r="D219" s="12" t="inlineStr">
        <is>
          <t/>
        </is>
      </c>
      <c r="E219" s="13" t="inlineStr">
        <is>
          <t>60814-45</t>
        </is>
      </c>
      <c r="F219" s="14" t="inlineStr">
        <is>
          <t>Operator of an online marketplace designed to sell unique home-ware and lifestyle products. The company's online marketplace is a marketplace for independent boutiques that offers a range of designer and contemporary styling homeware products, enabling customers to browse and choose their products and purchase them later in-store.</t>
        </is>
      </c>
      <c r="G219" s="15" t="inlineStr">
        <is>
          <t>Consumer Products and Services (B2C)</t>
        </is>
      </c>
      <c r="H219" s="16" t="inlineStr">
        <is>
          <t>Retail</t>
        </is>
      </c>
      <c r="I219" s="17" t="inlineStr">
        <is>
          <t>Internet Retail</t>
        </is>
      </c>
      <c r="J219" s="18" t="inlineStr">
        <is>
          <t>Internet Retail*; Home Furnishings; Other Consumer Durables</t>
        </is>
      </c>
      <c r="K219" s="19" t="inlineStr">
        <is>
          <t>E-Commerce</t>
        </is>
      </c>
      <c r="L219" s="20" t="inlineStr">
        <is>
          <t>Venture Capital-Backed</t>
        </is>
      </c>
      <c r="M219" s="21" t="n">
        <v>11.66</v>
      </c>
      <c r="N219" s="22" t="inlineStr">
        <is>
          <t>Generating Revenue</t>
        </is>
      </c>
      <c r="O219" s="23" t="inlineStr">
        <is>
          <t>Privately Held (backing)</t>
        </is>
      </c>
      <c r="P219" s="24" t="inlineStr">
        <is>
          <t>Venture Capital</t>
        </is>
      </c>
      <c r="Q219" s="25" t="inlineStr">
        <is>
          <t>www.trouva.com</t>
        </is>
      </c>
      <c r="R219" s="26" t="n">
        <v>24.0</v>
      </c>
      <c r="S219" s="27" t="inlineStr">
        <is>
          <t/>
        </is>
      </c>
      <c r="T219" s="28" t="inlineStr">
        <is>
          <t/>
        </is>
      </c>
      <c r="U219" s="29" t="n">
        <v>2013.0</v>
      </c>
      <c r="V219" s="30" t="inlineStr">
        <is>
          <t/>
        </is>
      </c>
      <c r="W219" s="31" t="inlineStr">
        <is>
          <t/>
        </is>
      </c>
      <c r="X219" s="32" t="inlineStr">
        <is>
          <t/>
        </is>
      </c>
      <c r="Y219" s="33" t="inlineStr">
        <is>
          <t/>
        </is>
      </c>
      <c r="Z219" s="34" t="inlineStr">
        <is>
          <t/>
        </is>
      </c>
      <c r="AA219" s="35" t="inlineStr">
        <is>
          <t/>
        </is>
      </c>
      <c r="AB219" s="36" t="inlineStr">
        <is>
          <t/>
        </is>
      </c>
      <c r="AC219" s="37" t="inlineStr">
        <is>
          <t/>
        </is>
      </c>
      <c r="AD219" s="38" t="inlineStr">
        <is>
          <t/>
        </is>
      </c>
      <c r="AE219" s="39" t="inlineStr">
        <is>
          <t>39815-65P</t>
        </is>
      </c>
      <c r="AF219" s="40" t="inlineStr">
        <is>
          <t>Mandeep Singh</t>
        </is>
      </c>
      <c r="AG219" s="41" t="inlineStr">
        <is>
          <t>Co-Founder, Board Member and Chief Executive Officer</t>
        </is>
      </c>
      <c r="AH219" s="42" t="inlineStr">
        <is>
          <t>mandeep@trouva.com</t>
        </is>
      </c>
      <c r="AI219" s="43" t="inlineStr">
        <is>
          <t>+44 (0)20 7193 6444</t>
        </is>
      </c>
      <c r="AJ219" s="44" t="inlineStr">
        <is>
          <t>London, United Kingdom</t>
        </is>
      </c>
      <c r="AK219" s="45" t="inlineStr">
        <is>
          <t>300 Saint John Street</t>
        </is>
      </c>
      <c r="AL219" s="46" t="inlineStr">
        <is>
          <t/>
        </is>
      </c>
      <c r="AM219" s="47" t="inlineStr">
        <is>
          <t>London</t>
        </is>
      </c>
      <c r="AN219" s="48" t="inlineStr">
        <is>
          <t>England</t>
        </is>
      </c>
      <c r="AO219" s="49" t="inlineStr">
        <is>
          <t>EC1V 4PA</t>
        </is>
      </c>
      <c r="AP219" s="50" t="inlineStr">
        <is>
          <t>United Kingdom</t>
        </is>
      </c>
      <c r="AQ219" s="51" t="inlineStr">
        <is>
          <t>+44 (0)20 7193 6444</t>
        </is>
      </c>
      <c r="AR219" s="52" t="inlineStr">
        <is>
          <t/>
        </is>
      </c>
      <c r="AS219" s="53" t="inlineStr">
        <is>
          <t>hello@trouva.com</t>
        </is>
      </c>
      <c r="AT219" s="54" t="inlineStr">
        <is>
          <t>Europe</t>
        </is>
      </c>
      <c r="AU219" s="55" t="inlineStr">
        <is>
          <t>Western Europe</t>
        </is>
      </c>
      <c r="AV219" s="56" t="inlineStr">
        <is>
          <t>The company raised $10 million of Series A venture funding in a deal led by BGF Ventures, Index Ventures and Octopus Investments on November 12, 2017. LocalGlobe, Playfair Capital, Downing Ventures, David Lindsay, Troy Collins, William Reeve, Carlos Morgado, Wendy Becker and other undisclosed investors also participated in the round. The funds will be used to develop the company's software platform for merchants in the U.K., with plans to ultimately bring the service to Europe and the U.S. The company till date has raised $13.8 million.</t>
        </is>
      </c>
      <c r="AW219" s="57" t="inlineStr">
        <is>
          <t>Alan Mak, Avonmore Developments, BGF Ventures, Carlos Morgado, David Lindsay, Downing Ventures, Go Beyond, Index Ventures (UK), LocalGlobe, Mobile Value Partners, Next Wave Ventures, Octopus Ventures, Playfair Capital, Robin Klein, Troy Collins, Wendy Becker, William Reeve</t>
        </is>
      </c>
      <c r="AX219" s="58" t="n">
        <v>17.0</v>
      </c>
      <c r="AY219" s="59" t="inlineStr">
        <is>
          <t/>
        </is>
      </c>
      <c r="AZ219" s="60" t="inlineStr">
        <is>
          <t/>
        </is>
      </c>
      <c r="BA219" s="61" t="inlineStr">
        <is>
          <t/>
        </is>
      </c>
      <c r="BB219" s="62" t="inlineStr">
        <is>
          <t>Avonmore Developments (www.avonmoredevelopments.com), BGF Ventures (www.bgfventures.com), Downing Ventures (www.downingventures.com), Go Beyond (www.go-beyond.biz), Index Ventures (UK) (www.indexventures.com), LocalGlobe (www.localglobe.vc), Mobile Value Partners (www.mvpglobal.com), Next Wave Ventures (www.nextwave.ventures), Octopus Ventures (www.octopusventures.com), Playfair Capital (www.playfaircapital.com), Robin Klein (www.the-accelerator.blogspot.com)</t>
        </is>
      </c>
      <c r="BC219" s="63" t="inlineStr">
        <is>
          <t/>
        </is>
      </c>
      <c r="BD219" s="64" t="inlineStr">
        <is>
          <t/>
        </is>
      </c>
      <c r="BE219" s="65" t="inlineStr">
        <is>
          <t>Upscale UK (Consulting), Kandidate (Consulting)</t>
        </is>
      </c>
      <c r="BF219" s="66" t="inlineStr">
        <is>
          <t/>
        </is>
      </c>
      <c r="BG219" s="67" t="n">
        <v>41628.0</v>
      </c>
      <c r="BH219" s="68" t="n">
        <v>0.88</v>
      </c>
      <c r="BI219" s="69" t="inlineStr">
        <is>
          <t>Actual</t>
        </is>
      </c>
      <c r="BJ219" s="70" t="inlineStr">
        <is>
          <t/>
        </is>
      </c>
      <c r="BK219" s="71" t="inlineStr">
        <is>
          <t/>
        </is>
      </c>
      <c r="BL219" s="72" t="inlineStr">
        <is>
          <t>Seed Round</t>
        </is>
      </c>
      <c r="BM219" s="73" t="inlineStr">
        <is>
          <t>Seed</t>
        </is>
      </c>
      <c r="BN219" s="74" t="inlineStr">
        <is>
          <t/>
        </is>
      </c>
      <c r="BO219" s="75" t="inlineStr">
        <is>
          <t>Venture Capital</t>
        </is>
      </c>
      <c r="BP219" s="76" t="inlineStr">
        <is>
          <t/>
        </is>
      </c>
      <c r="BQ219" s="77" t="inlineStr">
        <is>
          <t/>
        </is>
      </c>
      <c r="BR219" s="78" t="inlineStr">
        <is>
          <t/>
        </is>
      </c>
      <c r="BS219" s="79" t="inlineStr">
        <is>
          <t>Completed</t>
        </is>
      </c>
      <c r="BT219" s="80" t="n">
        <v>43051.0</v>
      </c>
      <c r="BU219" s="81" t="n">
        <v>8.5</v>
      </c>
      <c r="BV219" s="82" t="inlineStr">
        <is>
          <t>Actual</t>
        </is>
      </c>
      <c r="BW219" s="83" t="inlineStr">
        <is>
          <t/>
        </is>
      </c>
      <c r="BX219" s="84" t="inlineStr">
        <is>
          <t/>
        </is>
      </c>
      <c r="BY219" s="85" t="inlineStr">
        <is>
          <t>Early Stage VC</t>
        </is>
      </c>
      <c r="BZ219" s="86" t="inlineStr">
        <is>
          <t>Series A</t>
        </is>
      </c>
      <c r="CA219" s="87" t="inlineStr">
        <is>
          <t/>
        </is>
      </c>
      <c r="CB219" s="88" t="inlineStr">
        <is>
          <t>Venture Capital</t>
        </is>
      </c>
      <c r="CC219" s="89" t="inlineStr">
        <is>
          <t/>
        </is>
      </c>
      <c r="CD219" s="90" t="inlineStr">
        <is>
          <t/>
        </is>
      </c>
      <c r="CE219" s="91" t="inlineStr">
        <is>
          <t/>
        </is>
      </c>
      <c r="CF219" s="92" t="inlineStr">
        <is>
          <t>Completed</t>
        </is>
      </c>
      <c r="CG219" s="93" t="inlineStr">
        <is>
          <t>-6,72%</t>
        </is>
      </c>
      <c r="CH219" s="94" t="inlineStr">
        <is>
          <t>2</t>
        </is>
      </c>
      <c r="CI219" s="95" t="inlineStr">
        <is>
          <t>0,03%</t>
        </is>
      </c>
      <c r="CJ219" s="96" t="inlineStr">
        <is>
          <t>0,38%</t>
        </is>
      </c>
      <c r="CK219" s="97" t="inlineStr">
        <is>
          <t>-13,88%</t>
        </is>
      </c>
      <c r="CL219" s="98" t="inlineStr">
        <is>
          <t>2</t>
        </is>
      </c>
      <c r="CM219" s="99" t="inlineStr">
        <is>
          <t>0,45%</t>
        </is>
      </c>
      <c r="CN219" s="100" t="inlineStr">
        <is>
          <t>87</t>
        </is>
      </c>
      <c r="CO219" s="101" t="inlineStr">
        <is>
          <t>-13,88%</t>
        </is>
      </c>
      <c r="CP219" s="102" t="inlineStr">
        <is>
          <t>9</t>
        </is>
      </c>
      <c r="CQ219" s="103" t="inlineStr">
        <is>
          <t/>
        </is>
      </c>
      <c r="CR219" s="104" t="inlineStr">
        <is>
          <t/>
        </is>
      </c>
      <c r="CS219" s="105" t="inlineStr">
        <is>
          <t>0,41%</t>
        </is>
      </c>
      <c r="CT219" s="106" t="inlineStr">
        <is>
          <t>84</t>
        </is>
      </c>
      <c r="CU219" s="107" t="inlineStr">
        <is>
          <t>0,48%</t>
        </is>
      </c>
      <c r="CV219" s="108" t="inlineStr">
        <is>
          <t>90</t>
        </is>
      </c>
      <c r="CW219" s="109" t="inlineStr">
        <is>
          <t>54,30x</t>
        </is>
      </c>
      <c r="CX219" s="110" t="inlineStr">
        <is>
          <t>97</t>
        </is>
      </c>
      <c r="CY219" s="111" t="inlineStr">
        <is>
          <t>-0,07x</t>
        </is>
      </c>
      <c r="CZ219" s="112" t="inlineStr">
        <is>
          <t>-0,13%</t>
        </is>
      </c>
      <c r="DA219" s="113" t="inlineStr">
        <is>
          <t>76,96x</t>
        </is>
      </c>
      <c r="DB219" s="114" t="inlineStr">
        <is>
          <t>98</t>
        </is>
      </c>
      <c r="DC219" s="115" t="inlineStr">
        <is>
          <t>31,63x</t>
        </is>
      </c>
      <c r="DD219" s="116" t="inlineStr">
        <is>
          <t>92</t>
        </is>
      </c>
      <c r="DE219" s="117" t="inlineStr">
        <is>
          <t>76,96x</t>
        </is>
      </c>
      <c r="DF219" s="118" t="inlineStr">
        <is>
          <t>97</t>
        </is>
      </c>
      <c r="DG219" s="119" t="inlineStr">
        <is>
          <t/>
        </is>
      </c>
      <c r="DH219" s="120" t="inlineStr">
        <is>
          <t/>
        </is>
      </c>
      <c r="DI219" s="121" t="inlineStr">
        <is>
          <t>45,50x</t>
        </is>
      </c>
      <c r="DJ219" s="122" t="inlineStr">
        <is>
          <t>92</t>
        </is>
      </c>
      <c r="DK219" s="123" t="inlineStr">
        <is>
          <t>17,76x</t>
        </is>
      </c>
      <c r="DL219" s="124" t="inlineStr">
        <is>
          <t>91</t>
        </is>
      </c>
      <c r="DM219" s="125" t="inlineStr">
        <is>
          <t>28.421</t>
        </is>
      </c>
      <c r="DN219" s="126" t="inlineStr">
        <is>
          <t>654</t>
        </is>
      </c>
      <c r="DO219" s="127" t="inlineStr">
        <is>
          <t>2,36%</t>
        </is>
      </c>
      <c r="DP219" s="128" t="inlineStr">
        <is>
          <t>35.968</t>
        </is>
      </c>
      <c r="DQ219" s="129" t="inlineStr">
        <is>
          <t>117</t>
        </is>
      </c>
      <c r="DR219" s="130" t="inlineStr">
        <is>
          <t>0,33%</t>
        </is>
      </c>
      <c r="DS219" s="131" t="inlineStr">
        <is>
          <t/>
        </is>
      </c>
      <c r="DT219" s="132" t="inlineStr">
        <is>
          <t/>
        </is>
      </c>
      <c r="DU219" s="133" t="inlineStr">
        <is>
          <t/>
        </is>
      </c>
      <c r="DV219" s="134" t="inlineStr">
        <is>
          <t>6.625</t>
        </is>
      </c>
      <c r="DW219" s="135" t="inlineStr">
        <is>
          <t>45</t>
        </is>
      </c>
      <c r="DX219" s="136" t="inlineStr">
        <is>
          <t>0,68%</t>
        </is>
      </c>
      <c r="DY219" s="137" t="inlineStr">
        <is>
          <t>PitchBook Research</t>
        </is>
      </c>
      <c r="DZ219" s="785">
        <f>HYPERLINK("https://my.pitchbook.com?c=60814-45", "View company online")</f>
      </c>
    </row>
    <row r="220">
      <c r="A220" s="139" t="inlineStr">
        <is>
          <t>65970-91</t>
        </is>
      </c>
      <c r="B220" s="140" t="inlineStr">
        <is>
          <t>Luno</t>
        </is>
      </c>
      <c r="C220" s="141" t="inlineStr">
        <is>
          <t>BitX</t>
        </is>
      </c>
      <c r="D220" s="142" t="inlineStr">
        <is>
          <t/>
        </is>
      </c>
      <c r="E220" s="143" t="inlineStr">
        <is>
          <t>65970-91</t>
        </is>
      </c>
      <c r="F220" s="144" t="inlineStr">
        <is>
          <t>Provider of digital currency products and services designed to empower people by bringing Bitcoin to everyone and everywhere. The company's products include an ewallet for storing, converting and transacting bitcoin, a bitcoin exchange that connects potential bitcoin buyers with potential sellers and a bitcoin API to build custom applications, enabling users to to buy, store and learn about bitcoin.</t>
        </is>
      </c>
      <c r="G220" s="145" t="inlineStr">
        <is>
          <t>Information Technology</t>
        </is>
      </c>
      <c r="H220" s="146" t="inlineStr">
        <is>
          <t>Software</t>
        </is>
      </c>
      <c r="I220" s="147" t="inlineStr">
        <is>
          <t>Financial Software</t>
        </is>
      </c>
      <c r="J220" s="148" t="inlineStr">
        <is>
          <t>Financial Software*; Social/Platform Software</t>
        </is>
      </c>
      <c r="K220" s="149" t="inlineStr">
        <is>
          <t>Cryptocurrency/Blockchain, FinTech, SaaS</t>
        </is>
      </c>
      <c r="L220" s="150" t="inlineStr">
        <is>
          <t>Venture Capital-Backed</t>
        </is>
      </c>
      <c r="M220" s="151" t="n">
        <v>11.8</v>
      </c>
      <c r="N220" s="152" t="inlineStr">
        <is>
          <t>Generating Revenue</t>
        </is>
      </c>
      <c r="O220" s="153" t="inlineStr">
        <is>
          <t>Privately Held (backing)</t>
        </is>
      </c>
      <c r="P220" s="154" t="inlineStr">
        <is>
          <t>Venture Capital</t>
        </is>
      </c>
      <c r="Q220" s="155" t="inlineStr">
        <is>
          <t>www.luno.com</t>
        </is>
      </c>
      <c r="R220" s="156" t="n">
        <v>70.0</v>
      </c>
      <c r="S220" s="157" t="inlineStr">
        <is>
          <t/>
        </is>
      </c>
      <c r="T220" s="158" t="inlineStr">
        <is>
          <t/>
        </is>
      </c>
      <c r="U220" s="159" t="n">
        <v>2013.0</v>
      </c>
      <c r="V220" s="160" t="inlineStr">
        <is>
          <t/>
        </is>
      </c>
      <c r="W220" s="161" t="inlineStr">
        <is>
          <r>
            <rPr>
              <b/>
              <color rgb="ff26854d"/>
              <rFont val="Arial"/>
              <sz val="8.0"/>
            </rPr>
            <t>News</t>
          </r>
          <r>
            <rPr>
              <color rgb="ff707070"/>
              <rFont val="Arial"/>
              <sz val="7.0"/>
            </rPr>
            <t xml:space="preserve"> NEW  </t>
          </r>
        </is>
      </c>
      <c r="X220" s="162" t="inlineStr">
        <is>
          <r>
            <rPr>
              <b/>
              <color rgb="ff26854d"/>
              <rFont val="Arial"/>
              <sz val="8.0"/>
            </rPr>
            <t>News</t>
          </r>
          <r>
            <rPr>
              <color rgb="ff707070"/>
              <rFont val="Arial"/>
              <sz val="7.0"/>
            </rPr>
            <t xml:space="preserve"> NEW  </t>
          </r>
          <r>
            <rPr>
              <color rgb="ff000000"/>
              <rFont val="Arial"/>
              <sz val="8.0"/>
            </rPr>
            <t xml:space="preserve">
</t>
          </r>
          <r>
            <rPr>
              <b/>
              <color rgb="ff26854d"/>
              <rFont val="Arial"/>
              <sz val="8.0"/>
            </rPr>
            <t>Competitor</t>
          </r>
          <r>
            <rPr>
              <color rgb="ff707070"/>
              <rFont val="Arial"/>
              <sz val="7.0"/>
            </rPr>
            <t xml:space="preserve"> NEW  </t>
          </r>
          <r>
            <rPr>
              <color rgb="ff000000"/>
              <rFont val="Arial"/>
              <sz val="8.0"/>
            </rPr>
            <t>Xapo</t>
          </r>
        </is>
      </c>
      <c r="Y220" s="163" t="inlineStr">
        <is>
          <t/>
        </is>
      </c>
      <c r="Z220" s="164" t="inlineStr">
        <is>
          <t/>
        </is>
      </c>
      <c r="AA220" s="165" t="inlineStr">
        <is>
          <t/>
        </is>
      </c>
      <c r="AB220" s="166" t="inlineStr">
        <is>
          <t/>
        </is>
      </c>
      <c r="AC220" s="167" t="inlineStr">
        <is>
          <t/>
        </is>
      </c>
      <c r="AD220" s="168" t="inlineStr">
        <is>
          <t/>
        </is>
      </c>
      <c r="AE220" s="169" t="inlineStr">
        <is>
          <t>77261-59P</t>
        </is>
      </c>
      <c r="AF220" s="170" t="inlineStr">
        <is>
          <t>Marcus Swanepoel</t>
        </is>
      </c>
      <c r="AG220" s="171" t="inlineStr">
        <is>
          <t>Chief Executive Officer and Co-Founder</t>
        </is>
      </c>
      <c r="AH220" s="172" t="inlineStr">
        <is>
          <t>marcus@luno.com</t>
        </is>
      </c>
      <c r="AI220" s="173" t="inlineStr">
        <is>
          <t/>
        </is>
      </c>
      <c r="AJ220" s="174" t="inlineStr">
        <is>
          <t>London, United Kingdom</t>
        </is>
      </c>
      <c r="AK220" s="175" t="inlineStr">
        <is>
          <t>1 Fore Street</t>
        </is>
      </c>
      <c r="AL220" s="176" t="inlineStr">
        <is>
          <t/>
        </is>
      </c>
      <c r="AM220" s="177" t="inlineStr">
        <is>
          <t>London</t>
        </is>
      </c>
      <c r="AN220" s="178" t="inlineStr">
        <is>
          <t>England</t>
        </is>
      </c>
      <c r="AO220" s="179" t="inlineStr">
        <is>
          <t>EC2Y 9DT</t>
        </is>
      </c>
      <c r="AP220" s="180" t="inlineStr">
        <is>
          <t>United Kingdom</t>
        </is>
      </c>
      <c r="AQ220" s="181" t="inlineStr">
        <is>
          <t/>
        </is>
      </c>
      <c r="AR220" s="182" t="inlineStr">
        <is>
          <t/>
        </is>
      </c>
      <c r="AS220" s="183" t="inlineStr">
        <is>
          <t/>
        </is>
      </c>
      <c r="AT220" s="184" t="inlineStr">
        <is>
          <t>Europe</t>
        </is>
      </c>
      <c r="AU220" s="185" t="inlineStr">
        <is>
          <t>Western Europe</t>
        </is>
      </c>
      <c r="AV220" s="186" t="inlineStr">
        <is>
          <t>The company raised $9 million of Series B venture funding in a deal led by Balderton Capital on September 19, 2017. Digital Currency Group, Naspers, AlphaCode and Venturra Capital also participated in the round. The company intends to use the funds to continue to develop the technology to improve and refine the digital currency experience of its platform, expand globally following its launch across several new European markets (35 new markets in total), and double its existing team of 70 hiring across all units, from engineering and product to business development, customer support and compliance, across HQ in London, and offices in Singapore and Cape Town.</t>
        </is>
      </c>
      <c r="AW220" s="187" t="inlineStr">
        <is>
          <t>AlphaCode, Ariadne Capital, Balderton Capital, Digital Currency Group, Individual Investor, Naspers, PayUMoney, Venturra Capital</t>
        </is>
      </c>
      <c r="AX220" s="188" t="n">
        <v>8.0</v>
      </c>
      <c r="AY220" s="189" t="inlineStr">
        <is>
          <t/>
        </is>
      </c>
      <c r="AZ220" s="190" t="inlineStr">
        <is>
          <t/>
        </is>
      </c>
      <c r="BA220" s="191" t="inlineStr">
        <is>
          <t/>
        </is>
      </c>
      <c r="BB220" s="192" t="inlineStr">
        <is>
          <t>AlphaCode (www.alphacode.club), Ariadne Capital (www.ariadnecapital.com), Balderton Capital (www.balderton.com), Digital Currency Group (www.dcg.co), Naspers (www.naspers.com), PayUMoney (www.payumoney.com), Venturra Capital (www.venturra.com)</t>
        </is>
      </c>
      <c r="BC220" s="193" t="inlineStr">
        <is>
          <t/>
        </is>
      </c>
      <c r="BD220" s="194" t="inlineStr">
        <is>
          <t/>
        </is>
      </c>
      <c r="BE220" s="195" t="inlineStr">
        <is>
          <t/>
        </is>
      </c>
      <c r="BF220" s="196" t="inlineStr">
        <is>
          <t/>
        </is>
      </c>
      <c r="BG220" s="197" t="n">
        <v>41870.0</v>
      </c>
      <c r="BH220" s="198" t="n">
        <v>0.62</v>
      </c>
      <c r="BI220" s="199" t="inlineStr">
        <is>
          <t>Actual</t>
        </is>
      </c>
      <c r="BJ220" s="200" t="inlineStr">
        <is>
          <t/>
        </is>
      </c>
      <c r="BK220" s="201" t="inlineStr">
        <is>
          <t/>
        </is>
      </c>
      <c r="BL220" s="202" t="inlineStr">
        <is>
          <t>Seed Round</t>
        </is>
      </c>
      <c r="BM220" s="203" t="inlineStr">
        <is>
          <t>Seed</t>
        </is>
      </c>
      <c r="BN220" s="204" t="inlineStr">
        <is>
          <t/>
        </is>
      </c>
      <c r="BO220" s="205" t="inlineStr">
        <is>
          <t>Venture Capital</t>
        </is>
      </c>
      <c r="BP220" s="206" t="inlineStr">
        <is>
          <t/>
        </is>
      </c>
      <c r="BQ220" s="207" t="inlineStr">
        <is>
          <t/>
        </is>
      </c>
      <c r="BR220" s="208" t="inlineStr">
        <is>
          <t/>
        </is>
      </c>
      <c r="BS220" s="209" t="inlineStr">
        <is>
          <t>Completed</t>
        </is>
      </c>
      <c r="BT220" s="210" t="n">
        <v>42997.0</v>
      </c>
      <c r="BU220" s="211" t="n">
        <v>7.55</v>
      </c>
      <c r="BV220" s="212" t="inlineStr">
        <is>
          <t>Actual</t>
        </is>
      </c>
      <c r="BW220" s="213" t="inlineStr">
        <is>
          <t/>
        </is>
      </c>
      <c r="BX220" s="214" t="inlineStr">
        <is>
          <t/>
        </is>
      </c>
      <c r="BY220" s="215" t="inlineStr">
        <is>
          <t>Early Stage VC</t>
        </is>
      </c>
      <c r="BZ220" s="216" t="inlineStr">
        <is>
          <t>Series B</t>
        </is>
      </c>
      <c r="CA220" s="217" t="inlineStr">
        <is>
          <t/>
        </is>
      </c>
      <c r="CB220" s="218" t="inlineStr">
        <is>
          <t>Venture Capital</t>
        </is>
      </c>
      <c r="CC220" s="219" t="inlineStr">
        <is>
          <t/>
        </is>
      </c>
      <c r="CD220" s="220" t="inlineStr">
        <is>
          <t/>
        </is>
      </c>
      <c r="CE220" s="221" t="inlineStr">
        <is>
          <t/>
        </is>
      </c>
      <c r="CF220" s="222" t="inlineStr">
        <is>
          <t>Completed</t>
        </is>
      </c>
      <c r="CG220" s="223" t="inlineStr">
        <is>
          <t>3,59%</t>
        </is>
      </c>
      <c r="CH220" s="224" t="inlineStr">
        <is>
          <t>99</t>
        </is>
      </c>
      <c r="CI220" s="225" t="inlineStr">
        <is>
          <t>-0,14%</t>
        </is>
      </c>
      <c r="CJ220" s="226" t="inlineStr">
        <is>
          <t>-3,76%</t>
        </is>
      </c>
      <c r="CK220" s="227" t="inlineStr">
        <is>
          <t>5,22%</t>
        </is>
      </c>
      <c r="CL220" s="228" t="inlineStr">
        <is>
          <t>99</t>
        </is>
      </c>
      <c r="CM220" s="229" t="inlineStr">
        <is>
          <t>2,58%</t>
        </is>
      </c>
      <c r="CN220" s="230" t="inlineStr">
        <is>
          <t>99</t>
        </is>
      </c>
      <c r="CO220" s="231" t="inlineStr">
        <is>
          <t>3,69%</t>
        </is>
      </c>
      <c r="CP220" s="232" t="inlineStr">
        <is>
          <t>97</t>
        </is>
      </c>
      <c r="CQ220" s="233" t="inlineStr">
        <is>
          <t>6,75%</t>
        </is>
      </c>
      <c r="CR220" s="234" t="inlineStr">
        <is>
          <t>99</t>
        </is>
      </c>
      <c r="CS220" s="235" t="inlineStr">
        <is>
          <t>2,74%</t>
        </is>
      </c>
      <c r="CT220" s="236" t="inlineStr">
        <is>
          <t>99</t>
        </is>
      </c>
      <c r="CU220" s="237" t="inlineStr">
        <is>
          <t>2,41%</t>
        </is>
      </c>
      <c r="CV220" s="238" t="inlineStr">
        <is>
          <t>99</t>
        </is>
      </c>
      <c r="CW220" s="239" t="inlineStr">
        <is>
          <t>90,06x</t>
        </is>
      </c>
      <c r="CX220" s="240" t="inlineStr">
        <is>
          <t>98</t>
        </is>
      </c>
      <c r="CY220" s="241" t="inlineStr">
        <is>
          <t>0,10x</t>
        </is>
      </c>
      <c r="CZ220" s="242" t="inlineStr">
        <is>
          <t>0,11%</t>
        </is>
      </c>
      <c r="DA220" s="243" t="inlineStr">
        <is>
          <t>330,17x</t>
        </is>
      </c>
      <c r="DB220" s="244" t="inlineStr">
        <is>
          <t>100</t>
        </is>
      </c>
      <c r="DC220" s="245" t="inlineStr">
        <is>
          <t>28,29x</t>
        </is>
      </c>
      <c r="DD220" s="246" t="inlineStr">
        <is>
          <t>92</t>
        </is>
      </c>
      <c r="DE220" s="247" t="inlineStr">
        <is>
          <t>616,63x</t>
        </is>
      </c>
      <c r="DF220" s="248" t="inlineStr">
        <is>
          <t>100</t>
        </is>
      </c>
      <c r="DG220" s="249" t="inlineStr">
        <is>
          <t>43,72x</t>
        </is>
      </c>
      <c r="DH220" s="250" t="inlineStr">
        <is>
          <t>97</t>
        </is>
      </c>
      <c r="DI220" s="251" t="inlineStr">
        <is>
          <t>32,87x</t>
        </is>
      </c>
      <c r="DJ220" s="252" t="inlineStr">
        <is>
          <t>90</t>
        </is>
      </c>
      <c r="DK220" s="253" t="inlineStr">
        <is>
          <t>23,71x</t>
        </is>
      </c>
      <c r="DL220" s="254" t="inlineStr">
        <is>
          <t>93</t>
        </is>
      </c>
      <c r="DM220" s="255" t="inlineStr">
        <is>
          <t>228.828</t>
        </is>
      </c>
      <c r="DN220" s="256" t="inlineStr">
        <is>
          <t>-545</t>
        </is>
      </c>
      <c r="DO220" s="257" t="inlineStr">
        <is>
          <t>-0,24%</t>
        </is>
      </c>
      <c r="DP220" s="258" t="inlineStr">
        <is>
          <t>25.654</t>
        </is>
      </c>
      <c r="DQ220" s="259" t="inlineStr">
        <is>
          <t>1.218</t>
        </is>
      </c>
      <c r="DR220" s="260" t="inlineStr">
        <is>
          <t>4,98%</t>
        </is>
      </c>
      <c r="DS220" s="261" t="inlineStr">
        <is>
          <t>1.589</t>
        </is>
      </c>
      <c r="DT220" s="262" t="inlineStr">
        <is>
          <t>15</t>
        </is>
      </c>
      <c r="DU220" s="263" t="inlineStr">
        <is>
          <t>0,95%</t>
        </is>
      </c>
      <c r="DV220" s="264" t="inlineStr">
        <is>
          <t>8.755</t>
        </is>
      </c>
      <c r="DW220" s="265" t="inlineStr">
        <is>
          <t>241</t>
        </is>
      </c>
      <c r="DX220" s="266" t="inlineStr">
        <is>
          <t>2,83%</t>
        </is>
      </c>
      <c r="DY220" s="267" t="inlineStr">
        <is>
          <t>PitchBook Research</t>
        </is>
      </c>
      <c r="DZ220" s="786">
        <f>HYPERLINK("https://my.pitchbook.com?c=65970-91", "View company online")</f>
      </c>
    </row>
    <row r="221">
      <c r="A221" s="9" t="inlineStr">
        <is>
          <t>169137-28</t>
        </is>
      </c>
      <c r="B221" s="10" t="inlineStr">
        <is>
          <t>Shippeo</t>
        </is>
      </c>
      <c r="C221" s="11" t="inlineStr">
        <is>
          <t/>
        </is>
      </c>
      <c r="D221" s="12" t="inlineStr">
        <is>
          <t/>
        </is>
      </c>
      <c r="E221" s="13" t="inlineStr">
        <is>
          <t>169137-28</t>
        </is>
      </c>
      <c r="F221" s="14" t="inlineStr">
        <is>
          <t>Developer of a supply chain visibility platform designed to allow road freight transport actors to take advantage of the digital transformation. The company's platform centralizes the management of transport orders and offers real-time visibility and monitoring over transport flows, enabling fleet and freight operators to access real-time and predictive information on all their deliveries by road.</t>
        </is>
      </c>
      <c r="G221" s="15" t="inlineStr">
        <is>
          <t>Information Technology</t>
        </is>
      </c>
      <c r="H221" s="16" t="inlineStr">
        <is>
          <t>Software</t>
        </is>
      </c>
      <c r="I221" s="17" t="inlineStr">
        <is>
          <t>Business/Productivity Software</t>
        </is>
      </c>
      <c r="J221" s="18" t="inlineStr">
        <is>
          <t>Business/Productivity Software*; Logistics</t>
        </is>
      </c>
      <c r="K221" s="19" t="inlineStr">
        <is>
          <t>SaaS</t>
        </is>
      </c>
      <c r="L221" s="20" t="inlineStr">
        <is>
          <t>Venture Capital-Backed</t>
        </is>
      </c>
      <c r="M221" s="21" t="n">
        <v>12.0</v>
      </c>
      <c r="N221" s="22" t="inlineStr">
        <is>
          <t>Generating Revenue</t>
        </is>
      </c>
      <c r="O221" s="23" t="inlineStr">
        <is>
          <t>Privately Held (backing)</t>
        </is>
      </c>
      <c r="P221" s="24" t="inlineStr">
        <is>
          <t>Venture Capital</t>
        </is>
      </c>
      <c r="Q221" s="25" t="inlineStr">
        <is>
          <t>www.shippeo.com</t>
        </is>
      </c>
      <c r="R221" s="26" t="n">
        <v>16.0</v>
      </c>
      <c r="S221" s="27" t="inlineStr">
        <is>
          <t/>
        </is>
      </c>
      <c r="T221" s="28" t="inlineStr">
        <is>
          <t/>
        </is>
      </c>
      <c r="U221" s="29" t="n">
        <v>2014.0</v>
      </c>
      <c r="V221" s="30" t="inlineStr">
        <is>
          <t/>
        </is>
      </c>
      <c r="W221" s="31" t="inlineStr">
        <is>
          <t/>
        </is>
      </c>
      <c r="X221" s="32" t="inlineStr">
        <is>
          <t/>
        </is>
      </c>
      <c r="Y221" s="33" t="inlineStr">
        <is>
          <t/>
        </is>
      </c>
      <c r="Z221" s="34" t="inlineStr">
        <is>
          <t/>
        </is>
      </c>
      <c r="AA221" s="35" t="inlineStr">
        <is>
          <t/>
        </is>
      </c>
      <c r="AB221" s="36" t="inlineStr">
        <is>
          <t/>
        </is>
      </c>
      <c r="AC221" s="37" t="inlineStr">
        <is>
          <t/>
        </is>
      </c>
      <c r="AD221" s="38" t="inlineStr">
        <is>
          <t/>
        </is>
      </c>
      <c r="AE221" s="39" t="inlineStr">
        <is>
          <t>17885-80P</t>
        </is>
      </c>
      <c r="AF221" s="40" t="inlineStr">
        <is>
          <t>Pierre Khoury</t>
        </is>
      </c>
      <c r="AG221" s="41" t="inlineStr">
        <is>
          <t>Co-Founder &amp; Chief Executive Officer</t>
        </is>
      </c>
      <c r="AH221" s="42" t="inlineStr">
        <is>
          <t>pierre.khoury@shippeo.com</t>
        </is>
      </c>
      <c r="AI221" s="43" t="inlineStr">
        <is>
          <t>+33 (0)1 45 49 72 81</t>
        </is>
      </c>
      <c r="AJ221" s="44" t="inlineStr">
        <is>
          <t>Paris, France</t>
        </is>
      </c>
      <c r="AK221" s="45" t="inlineStr">
        <is>
          <t>46-48 rue René Clair</t>
        </is>
      </c>
      <c r="AL221" s="46" t="inlineStr">
        <is>
          <t/>
        </is>
      </c>
      <c r="AM221" s="47" t="inlineStr">
        <is>
          <t>Paris</t>
        </is>
      </c>
      <c r="AN221" s="48" t="inlineStr">
        <is>
          <t/>
        </is>
      </c>
      <c r="AO221" s="49" t="inlineStr">
        <is>
          <t>75018</t>
        </is>
      </c>
      <c r="AP221" s="50" t="inlineStr">
        <is>
          <t>France</t>
        </is>
      </c>
      <c r="AQ221" s="51" t="inlineStr">
        <is>
          <t>+33 (0)1 45 49 72 81</t>
        </is>
      </c>
      <c r="AR221" s="52" t="inlineStr">
        <is>
          <t/>
        </is>
      </c>
      <c r="AS221" s="53" t="inlineStr">
        <is>
          <t>contact@shippeo.com</t>
        </is>
      </c>
      <c r="AT221" s="54" t="inlineStr">
        <is>
          <t>Europe</t>
        </is>
      </c>
      <c r="AU221" s="55" t="inlineStr">
        <is>
          <t>Western Europe</t>
        </is>
      </c>
      <c r="AV221" s="56" t="inlineStr">
        <is>
          <t>The company raised EUR 10 million of Series A venture funding in a deal led by Otium and Partech Ventures on November 16, 2017. The funds will be used to solidify the company's model before exporting it to the German market in the first quarter of 2018 as well as accelerate its international business development while maintaining strong R&amp;D investments.</t>
        </is>
      </c>
      <c r="AW221" s="57" t="inlineStr">
        <is>
          <t>Kerala Ventures, Otium, Paris&amp;Co Incubateurs, Partech Ventures</t>
        </is>
      </c>
      <c r="AX221" s="58" t="n">
        <v>4.0</v>
      </c>
      <c r="AY221" s="59" t="inlineStr">
        <is>
          <t/>
        </is>
      </c>
      <c r="AZ221" s="60" t="inlineStr">
        <is>
          <t/>
        </is>
      </c>
      <c r="BA221" s="61" t="inlineStr">
        <is>
          <t/>
        </is>
      </c>
      <c r="BB221" s="62" t="inlineStr">
        <is>
          <t>Kerala Ventures (www.krlventures.com), Otium (www.otium.fr), Paris&amp;Co Incubateurs (www.incubateurs.parisandco.com), Partech Ventures (www.partechventures.com)</t>
        </is>
      </c>
      <c r="BC221" s="63" t="inlineStr">
        <is>
          <t/>
        </is>
      </c>
      <c r="BD221" s="64" t="inlineStr">
        <is>
          <t/>
        </is>
      </c>
      <c r="BE221" s="65" t="inlineStr">
        <is>
          <t/>
        </is>
      </c>
      <c r="BF221" s="66" t="inlineStr">
        <is>
          <t>Jones Day (Legal Advisor)</t>
        </is>
      </c>
      <c r="BG221" s="67" t="inlineStr">
        <is>
          <t/>
        </is>
      </c>
      <c r="BH221" s="68" t="inlineStr">
        <is>
          <t/>
        </is>
      </c>
      <c r="BI221" s="69" t="inlineStr">
        <is>
          <t/>
        </is>
      </c>
      <c r="BJ221" s="70" t="inlineStr">
        <is>
          <t/>
        </is>
      </c>
      <c r="BK221" s="71" t="inlineStr">
        <is>
          <t/>
        </is>
      </c>
      <c r="BL221" s="72" t="inlineStr">
        <is>
          <t>Accelerator/Incubator</t>
        </is>
      </c>
      <c r="BM221" s="73" t="inlineStr">
        <is>
          <t/>
        </is>
      </c>
      <c r="BN221" s="74" t="inlineStr">
        <is>
          <t/>
        </is>
      </c>
      <c r="BO221" s="75" t="inlineStr">
        <is>
          <t>Other</t>
        </is>
      </c>
      <c r="BP221" s="76" t="inlineStr">
        <is>
          <t/>
        </is>
      </c>
      <c r="BQ221" s="77" t="inlineStr">
        <is>
          <t/>
        </is>
      </c>
      <c r="BR221" s="78" t="inlineStr">
        <is>
          <t/>
        </is>
      </c>
      <c r="BS221" s="79" t="inlineStr">
        <is>
          <t>Completed</t>
        </is>
      </c>
      <c r="BT221" s="80" t="n">
        <v>43055.0</v>
      </c>
      <c r="BU221" s="81" t="n">
        <v>10.0</v>
      </c>
      <c r="BV221" s="82" t="inlineStr">
        <is>
          <t>Actual</t>
        </is>
      </c>
      <c r="BW221" s="83" t="inlineStr">
        <is>
          <t/>
        </is>
      </c>
      <c r="BX221" s="84" t="inlineStr">
        <is>
          <t/>
        </is>
      </c>
      <c r="BY221" s="85" t="inlineStr">
        <is>
          <t>Early Stage VC</t>
        </is>
      </c>
      <c r="BZ221" s="86" t="inlineStr">
        <is>
          <t>Series A</t>
        </is>
      </c>
      <c r="CA221" s="87" t="inlineStr">
        <is>
          <t/>
        </is>
      </c>
      <c r="CB221" s="88" t="inlineStr">
        <is>
          <t>Venture Capital</t>
        </is>
      </c>
      <c r="CC221" s="89" t="inlineStr">
        <is>
          <t/>
        </is>
      </c>
      <c r="CD221" s="90" t="inlineStr">
        <is>
          <t/>
        </is>
      </c>
      <c r="CE221" s="91" t="inlineStr">
        <is>
          <t/>
        </is>
      </c>
      <c r="CF221" s="92" t="inlineStr">
        <is>
          <t>Completed</t>
        </is>
      </c>
      <c r="CG221" s="93" t="inlineStr">
        <is>
          <t>-2,39%</t>
        </is>
      </c>
      <c r="CH221" s="94" t="inlineStr">
        <is>
          <t>8</t>
        </is>
      </c>
      <c r="CI221" s="95" t="inlineStr">
        <is>
          <t>0,13%</t>
        </is>
      </c>
      <c r="CJ221" s="96" t="inlineStr">
        <is>
          <t>5,09%</t>
        </is>
      </c>
      <c r="CK221" s="97" t="inlineStr">
        <is>
          <t>-5,45%</t>
        </is>
      </c>
      <c r="CL221" s="98" t="inlineStr">
        <is>
          <t>7</t>
        </is>
      </c>
      <c r="CM221" s="99" t="inlineStr">
        <is>
          <t>0,67%</t>
        </is>
      </c>
      <c r="CN221" s="100" t="inlineStr">
        <is>
          <t>92</t>
        </is>
      </c>
      <c r="CO221" s="101" t="inlineStr">
        <is>
          <t>-11,63%</t>
        </is>
      </c>
      <c r="CP221" s="102" t="inlineStr">
        <is>
          <t>11</t>
        </is>
      </c>
      <c r="CQ221" s="103" t="inlineStr">
        <is>
          <t>0,72%</t>
        </is>
      </c>
      <c r="CR221" s="104" t="inlineStr">
        <is>
          <t>92</t>
        </is>
      </c>
      <c r="CS221" s="105" t="inlineStr">
        <is>
          <t>0,20%</t>
        </is>
      </c>
      <c r="CT221" s="106" t="inlineStr">
        <is>
          <t>69</t>
        </is>
      </c>
      <c r="CU221" s="107" t="inlineStr">
        <is>
          <t>1,14%</t>
        </is>
      </c>
      <c r="CV221" s="108" t="inlineStr">
        <is>
          <t>97</t>
        </is>
      </c>
      <c r="CW221" s="109" t="inlineStr">
        <is>
          <t>1,63x</t>
        </is>
      </c>
      <c r="CX221" s="110" t="inlineStr">
        <is>
          <t>60</t>
        </is>
      </c>
      <c r="CY221" s="111" t="inlineStr">
        <is>
          <t>0,07x</t>
        </is>
      </c>
      <c r="CZ221" s="112" t="inlineStr">
        <is>
          <t>4,41%</t>
        </is>
      </c>
      <c r="DA221" s="113" t="inlineStr">
        <is>
          <t>2,38x</t>
        </is>
      </c>
      <c r="DB221" s="114" t="inlineStr">
        <is>
          <t>70</t>
        </is>
      </c>
      <c r="DC221" s="115" t="inlineStr">
        <is>
          <t>0,88x</t>
        </is>
      </c>
      <c r="DD221" s="116" t="inlineStr">
        <is>
          <t>46</t>
        </is>
      </c>
      <c r="DE221" s="117" t="inlineStr">
        <is>
          <t>0,59x</t>
        </is>
      </c>
      <c r="DF221" s="118" t="inlineStr">
        <is>
          <t>37</t>
        </is>
      </c>
      <c r="DG221" s="119" t="inlineStr">
        <is>
          <t>4,17x</t>
        </is>
      </c>
      <c r="DH221" s="120" t="inlineStr">
        <is>
          <t>77</t>
        </is>
      </c>
      <c r="DI221" s="121" t="inlineStr">
        <is>
          <t>0,47x</t>
        </is>
      </c>
      <c r="DJ221" s="122" t="inlineStr">
        <is>
          <t>38</t>
        </is>
      </c>
      <c r="DK221" s="123" t="inlineStr">
        <is>
          <t>1,28x</t>
        </is>
      </c>
      <c r="DL221" s="124" t="inlineStr">
        <is>
          <t>55</t>
        </is>
      </c>
      <c r="DM221" s="125" t="inlineStr">
        <is>
          <t>367</t>
        </is>
      </c>
      <c r="DN221" s="126" t="inlineStr">
        <is>
          <t>-447</t>
        </is>
      </c>
      <c r="DO221" s="127" t="inlineStr">
        <is>
          <t>-54,91%</t>
        </is>
      </c>
      <c r="DP221" s="128" t="inlineStr">
        <is>
          <t>374</t>
        </is>
      </c>
      <c r="DQ221" s="129" t="inlineStr">
        <is>
          <t>3</t>
        </is>
      </c>
      <c r="DR221" s="130" t="inlineStr">
        <is>
          <t>0,81%</t>
        </is>
      </c>
      <c r="DS221" s="131" t="inlineStr">
        <is>
          <t>145</t>
        </is>
      </c>
      <c r="DT221" s="132" t="inlineStr">
        <is>
          <t>5</t>
        </is>
      </c>
      <c r="DU221" s="133" t="inlineStr">
        <is>
          <t>3,57%</t>
        </is>
      </c>
      <c r="DV221" s="134" t="inlineStr">
        <is>
          <t>477</t>
        </is>
      </c>
      <c r="DW221" s="135" t="inlineStr">
        <is>
          <t>17</t>
        </is>
      </c>
      <c r="DX221" s="136" t="inlineStr">
        <is>
          <t>3,70%</t>
        </is>
      </c>
      <c r="DY221" s="137" t="inlineStr">
        <is>
          <t>PitchBook Research</t>
        </is>
      </c>
      <c r="DZ221" s="785">
        <f>HYPERLINK("https://my.pitchbook.com?c=169137-28", "View company online")</f>
      </c>
    </row>
    <row r="222">
      <c r="A222" s="139" t="inlineStr">
        <is>
          <t>166768-66</t>
        </is>
      </c>
      <c r="B222" s="140" t="inlineStr">
        <is>
          <t>Prowler.io</t>
        </is>
      </c>
      <c r="C222" s="141" t="inlineStr">
        <is>
          <t/>
        </is>
      </c>
      <c r="D222" s="142" t="inlineStr">
        <is>
          <t>Prowler</t>
        </is>
      </c>
      <c r="E222" s="143" t="inlineStr">
        <is>
          <t>166768-66</t>
        </is>
      </c>
      <c r="F222" s="144" t="inlineStr">
        <is>
          <t>Provider of an AI decision making platform designed to transform complex systems design and implementation. The company's decision making platform makes it possible to perceive and affect the ways agents - such as vehicles, drones, robots, characters in games and even people - interact in complex environments, enabling customers to understand, guide and optimize the millions of micro-decisions that can occur in dynamic systems.</t>
        </is>
      </c>
      <c r="G222" s="145" t="inlineStr">
        <is>
          <t>Information Technology</t>
        </is>
      </c>
      <c r="H222" s="146" t="inlineStr">
        <is>
          <t>Software</t>
        </is>
      </c>
      <c r="I222" s="147" t="inlineStr">
        <is>
          <t>Application Software</t>
        </is>
      </c>
      <c r="J222" s="148" t="inlineStr">
        <is>
          <t>Application Software*</t>
        </is>
      </c>
      <c r="K222" s="149" t="inlineStr">
        <is>
          <t>Artificial Intelligence &amp; Machine Learning, Big Data</t>
        </is>
      </c>
      <c r="L222" s="150" t="inlineStr">
        <is>
          <t>Venture Capital-Backed</t>
        </is>
      </c>
      <c r="M222" s="151" t="n">
        <v>12.91</v>
      </c>
      <c r="N222" s="152" t="inlineStr">
        <is>
          <t>Startup</t>
        </is>
      </c>
      <c r="O222" s="153" t="inlineStr">
        <is>
          <t>Privately Held (backing)</t>
        </is>
      </c>
      <c r="P222" s="154" t="inlineStr">
        <is>
          <t>Venture Capital</t>
        </is>
      </c>
      <c r="Q222" s="155" t="inlineStr">
        <is>
          <t>www.prowler.io</t>
        </is>
      </c>
      <c r="R222" s="156" t="n">
        <v>50.0</v>
      </c>
      <c r="S222" s="157" t="inlineStr">
        <is>
          <t/>
        </is>
      </c>
      <c r="T222" s="158" t="inlineStr">
        <is>
          <t/>
        </is>
      </c>
      <c r="U222" s="159" t="n">
        <v>2016.0</v>
      </c>
      <c r="V222" s="160" t="inlineStr">
        <is>
          <t/>
        </is>
      </c>
      <c r="W222" s="161" t="inlineStr">
        <is>
          <t/>
        </is>
      </c>
      <c r="X222" s="162" t="inlineStr">
        <is>
          <t/>
        </is>
      </c>
      <c r="Y222" s="163" t="inlineStr">
        <is>
          <t/>
        </is>
      </c>
      <c r="Z222" s="164" t="inlineStr">
        <is>
          <t/>
        </is>
      </c>
      <c r="AA222" s="165" t="inlineStr">
        <is>
          <t/>
        </is>
      </c>
      <c r="AB222" s="166" t="inlineStr">
        <is>
          <t/>
        </is>
      </c>
      <c r="AC222" s="167" t="inlineStr">
        <is>
          <t/>
        </is>
      </c>
      <c r="AD222" s="168" t="inlineStr">
        <is>
          <t/>
        </is>
      </c>
      <c r="AE222" s="169" t="inlineStr">
        <is>
          <t>146645-38P</t>
        </is>
      </c>
      <c r="AF222" s="170" t="inlineStr">
        <is>
          <t>Vishal Chatrath</t>
        </is>
      </c>
      <c r="AG222" s="171" t="inlineStr">
        <is>
          <t>Co-Founder, Chief Executive Officer &amp; Board Member</t>
        </is>
      </c>
      <c r="AH222" s="172" t="inlineStr">
        <is>
          <t>vishal@prowler.io</t>
        </is>
      </c>
      <c r="AI222" s="173" t="inlineStr">
        <is>
          <t/>
        </is>
      </c>
      <c r="AJ222" s="174" t="inlineStr">
        <is>
          <t>Cambridge, United Kingdom</t>
        </is>
      </c>
      <c r="AK222" s="175" t="inlineStr">
        <is>
          <t>3rd Floor, Charter House</t>
        </is>
      </c>
      <c r="AL222" s="176" t="inlineStr">
        <is>
          <t>66-68 Hills Road</t>
        </is>
      </c>
      <c r="AM222" s="177" t="inlineStr">
        <is>
          <t>Cambridge</t>
        </is>
      </c>
      <c r="AN222" s="178" t="inlineStr">
        <is>
          <t>England</t>
        </is>
      </c>
      <c r="AO222" s="179" t="inlineStr">
        <is>
          <t>CB2 1LA</t>
        </is>
      </c>
      <c r="AP222" s="180" t="inlineStr">
        <is>
          <t>United Kingdom</t>
        </is>
      </c>
      <c r="AQ222" s="181" t="inlineStr">
        <is>
          <t/>
        </is>
      </c>
      <c r="AR222" s="182" t="inlineStr">
        <is>
          <t/>
        </is>
      </c>
      <c r="AS222" s="183" t="inlineStr">
        <is>
          <t>info@prowler.io</t>
        </is>
      </c>
      <c r="AT222" s="184" t="inlineStr">
        <is>
          <t>Europe</t>
        </is>
      </c>
      <c r="AU222" s="185" t="inlineStr">
        <is>
          <t>Western Europe</t>
        </is>
      </c>
      <c r="AV222" s="186" t="inlineStr">
        <is>
          <t>The company raised GBP 10 million of Series A venture funding from lead investor Cambridge Innovation Capital on September 5, 2017. Atlantic Bridge Capital, Passion Capital, Amadeus Capital Partners and SGInnovate also participated in the round. The funding will be used to expand its world-leading team of academics, developers, enhance its research efforts and continue development and commercialization of its platform. Previously, the company raised GBP 1.5 million of seed funding from Passion Capital, Amadeus Capital Partners and Infocomm Investments on September 30, 2016, putting the pre-money valuation at GBP 3.09 million.</t>
        </is>
      </c>
      <c r="AW222" s="187" t="inlineStr">
        <is>
          <t>Amadeus Capital Partners, Atlantic Bridge Capital, Barclays Eagle Lab, Cambridge Innovation Capital, Passion Capital, SGInnovate</t>
        </is>
      </c>
      <c r="AX222" s="188" t="n">
        <v>6.0</v>
      </c>
      <c r="AY222" s="189" t="inlineStr">
        <is>
          <t/>
        </is>
      </c>
      <c r="AZ222" s="190" t="inlineStr">
        <is>
          <t/>
        </is>
      </c>
      <c r="BA222" s="191" t="inlineStr">
        <is>
          <t/>
        </is>
      </c>
      <c r="BB222" s="192" t="inlineStr">
        <is>
          <t>Amadeus Capital Partners (www.amadeuscapital.com), Atlantic Bridge Capital (www.abven.com), Barclays Eagle Lab (labs.uk.barclays), Cambridge Innovation Capital (www.cicplc.co.uk), Passion Capital (www.passioncapital.com), SGInnovate (www.sginnovate.com)</t>
        </is>
      </c>
      <c r="BC222" s="193" t="inlineStr">
        <is>
          <t/>
        </is>
      </c>
      <c r="BD222" s="194" t="inlineStr">
        <is>
          <t/>
        </is>
      </c>
      <c r="BE222" s="195" t="inlineStr">
        <is>
          <t/>
        </is>
      </c>
      <c r="BF222" s="196" t="inlineStr">
        <is>
          <t/>
        </is>
      </c>
      <c r="BG222" s="197" t="inlineStr">
        <is>
          <t/>
        </is>
      </c>
      <c r="BH222" s="198" t="inlineStr">
        <is>
          <t/>
        </is>
      </c>
      <c r="BI222" s="199" t="inlineStr">
        <is>
          <t/>
        </is>
      </c>
      <c r="BJ222" s="200" t="inlineStr">
        <is>
          <t/>
        </is>
      </c>
      <c r="BK222" s="201" t="inlineStr">
        <is>
          <t/>
        </is>
      </c>
      <c r="BL222" s="202" t="inlineStr">
        <is>
          <t>Accelerator/Incubator</t>
        </is>
      </c>
      <c r="BM222" s="203" t="inlineStr">
        <is>
          <t/>
        </is>
      </c>
      <c r="BN222" s="204" t="inlineStr">
        <is>
          <t/>
        </is>
      </c>
      <c r="BO222" s="205" t="inlineStr">
        <is>
          <t>Other</t>
        </is>
      </c>
      <c r="BP222" s="206" t="inlineStr">
        <is>
          <t/>
        </is>
      </c>
      <c r="BQ222" s="207" t="inlineStr">
        <is>
          <t/>
        </is>
      </c>
      <c r="BR222" s="208" t="inlineStr">
        <is>
          <t/>
        </is>
      </c>
      <c r="BS222" s="209" t="inlineStr">
        <is>
          <t>Completed</t>
        </is>
      </c>
      <c r="BT222" s="210" t="n">
        <v>42983.0</v>
      </c>
      <c r="BU222" s="211" t="n">
        <v>11.15</v>
      </c>
      <c r="BV222" s="212" t="inlineStr">
        <is>
          <t>Actual</t>
        </is>
      </c>
      <c r="BW222" s="213" t="n">
        <v>29.35</v>
      </c>
      <c r="BX222" s="214" t="inlineStr">
        <is>
          <t>Actual</t>
        </is>
      </c>
      <c r="BY222" s="215" t="inlineStr">
        <is>
          <t>Early Stage VC</t>
        </is>
      </c>
      <c r="BZ222" s="216" t="inlineStr">
        <is>
          <t>Series A</t>
        </is>
      </c>
      <c r="CA222" s="217" t="inlineStr">
        <is>
          <t/>
        </is>
      </c>
      <c r="CB222" s="218" t="inlineStr">
        <is>
          <t>Venture Capital</t>
        </is>
      </c>
      <c r="CC222" s="219" t="inlineStr">
        <is>
          <t/>
        </is>
      </c>
      <c r="CD222" s="220" t="inlineStr">
        <is>
          <t/>
        </is>
      </c>
      <c r="CE222" s="221" t="inlineStr">
        <is>
          <t/>
        </is>
      </c>
      <c r="CF222" s="222" t="inlineStr">
        <is>
          <t>Completed</t>
        </is>
      </c>
      <c r="CG222" s="223" t="inlineStr">
        <is>
          <t>-1,64%</t>
        </is>
      </c>
      <c r="CH222" s="224" t="inlineStr">
        <is>
          <t>11</t>
        </is>
      </c>
      <c r="CI222" s="225" t="inlineStr">
        <is>
          <t>-0,01%</t>
        </is>
      </c>
      <c r="CJ222" s="226" t="inlineStr">
        <is>
          <t>-0,41%</t>
        </is>
      </c>
      <c r="CK222" s="227" t="inlineStr">
        <is>
          <t>-4,15%</t>
        </is>
      </c>
      <c r="CL222" s="228" t="inlineStr">
        <is>
          <t>9</t>
        </is>
      </c>
      <c r="CM222" s="229" t="inlineStr">
        <is>
          <t>0,88%</t>
        </is>
      </c>
      <c r="CN222" s="230" t="inlineStr">
        <is>
          <t>95</t>
        </is>
      </c>
      <c r="CO222" s="231" t="inlineStr">
        <is>
          <t>-8,30%</t>
        </is>
      </c>
      <c r="CP222" s="232" t="inlineStr">
        <is>
          <t>15</t>
        </is>
      </c>
      <c r="CQ222" s="233" t="inlineStr">
        <is>
          <t>0,00%</t>
        </is>
      </c>
      <c r="CR222" s="234" t="inlineStr">
        <is>
          <t>20</t>
        </is>
      </c>
      <c r="CS222" s="235" t="inlineStr">
        <is>
          <t>0,00%</t>
        </is>
      </c>
      <c r="CT222" s="236" t="inlineStr">
        <is>
          <t>18</t>
        </is>
      </c>
      <c r="CU222" s="237" t="inlineStr">
        <is>
          <t>1,75%</t>
        </is>
      </c>
      <c r="CV222" s="238" t="inlineStr">
        <is>
          <t>99</t>
        </is>
      </c>
      <c r="CW222" s="239" t="inlineStr">
        <is>
          <t>1,58x</t>
        </is>
      </c>
      <c r="CX222" s="240" t="inlineStr">
        <is>
          <t>60</t>
        </is>
      </c>
      <c r="CY222" s="241" t="inlineStr">
        <is>
          <t>-0,01x</t>
        </is>
      </c>
      <c r="CZ222" s="242" t="inlineStr">
        <is>
          <t>-0,51%</t>
        </is>
      </c>
      <c r="DA222" s="243" t="inlineStr">
        <is>
          <t>1,81x</t>
        </is>
      </c>
      <c r="DB222" s="244" t="inlineStr">
        <is>
          <t>65</t>
        </is>
      </c>
      <c r="DC222" s="245" t="inlineStr">
        <is>
          <t>1,34x</t>
        </is>
      </c>
      <c r="DD222" s="246" t="inlineStr">
        <is>
          <t>54</t>
        </is>
      </c>
      <c r="DE222" s="247" t="inlineStr">
        <is>
          <t>1,24x</t>
        </is>
      </c>
      <c r="DF222" s="248" t="inlineStr">
        <is>
          <t>56</t>
        </is>
      </c>
      <c r="DG222" s="249" t="inlineStr">
        <is>
          <t>2,39x</t>
        </is>
      </c>
      <c r="DH222" s="250" t="inlineStr">
        <is>
          <t>68</t>
        </is>
      </c>
      <c r="DI222" s="251" t="inlineStr">
        <is>
          <t>0,01x</t>
        </is>
      </c>
      <c r="DJ222" s="252" t="inlineStr">
        <is>
          <t>2</t>
        </is>
      </c>
      <c r="DK222" s="253" t="inlineStr">
        <is>
          <t>2,67x</t>
        </is>
      </c>
      <c r="DL222" s="254" t="inlineStr">
        <is>
          <t>69</t>
        </is>
      </c>
      <c r="DM222" s="255" t="inlineStr">
        <is>
          <t>542</t>
        </is>
      </c>
      <c r="DN222" s="256" t="inlineStr">
        <is>
          <t>-411</t>
        </is>
      </c>
      <c r="DO222" s="257" t="inlineStr">
        <is>
          <t>-43,13%</t>
        </is>
      </c>
      <c r="DP222" s="258" t="inlineStr">
        <is>
          <t>10</t>
        </is>
      </c>
      <c r="DQ222" s="259" t="inlineStr">
        <is>
          <t>0</t>
        </is>
      </c>
      <c r="DR222" s="260" t="inlineStr">
        <is>
          <t>0,00%</t>
        </is>
      </c>
      <c r="DS222" s="261" t="inlineStr">
        <is>
          <t>86</t>
        </is>
      </c>
      <c r="DT222" s="262" t="inlineStr">
        <is>
          <t>0</t>
        </is>
      </c>
      <c r="DU222" s="263" t="inlineStr">
        <is>
          <t>0,00%</t>
        </is>
      </c>
      <c r="DV222" s="264" t="inlineStr">
        <is>
          <t>996</t>
        </is>
      </c>
      <c r="DW222" s="265" t="inlineStr">
        <is>
          <t>14</t>
        </is>
      </c>
      <c r="DX222" s="266" t="inlineStr">
        <is>
          <t>1,43%</t>
        </is>
      </c>
      <c r="DY222" s="267" t="inlineStr">
        <is>
          <t>PitchBook Research</t>
        </is>
      </c>
      <c r="DZ222" s="786">
        <f>HYPERLINK("https://my.pitchbook.com?c=166768-66", "View company online")</f>
      </c>
    </row>
    <row r="223">
      <c r="A223" s="9" t="inlineStr">
        <is>
          <t>90986-68</t>
        </is>
      </c>
      <c r="B223" s="10" t="inlineStr">
        <is>
          <t>Peratech</t>
        </is>
      </c>
      <c r="C223" s="11" t="inlineStr">
        <is>
          <t/>
        </is>
      </c>
      <c r="D223" s="12" t="inlineStr">
        <is>
          <t/>
        </is>
      </c>
      <c r="E223" s="13" t="inlineStr">
        <is>
          <t>90986-68</t>
        </is>
      </c>
      <c r="F223" s="14" t="inlineStr">
        <is>
          <t>Provider of force-sensing human machine interface (HMI)/man machine interface (MMI) designed to offer an end-to-end touch service provision. The company's QTC materials are custom developed screen-printable inks, in both opaque and clear formulations, allow for an expanded range of application uses and integrates devices such as smartphones and whiteboards, enabling users to get next-generation touch and force sensing services.</t>
        </is>
      </c>
      <c r="G223" s="15" t="inlineStr">
        <is>
          <t>Information Technology</t>
        </is>
      </c>
      <c r="H223" s="16" t="inlineStr">
        <is>
          <t>Computer Hardware</t>
        </is>
      </c>
      <c r="I223" s="17" t="inlineStr">
        <is>
          <t>Electronic Components</t>
        </is>
      </c>
      <c r="J223" s="18" t="inlineStr">
        <is>
          <t>Electronic Components*</t>
        </is>
      </c>
      <c r="K223" s="19" t="inlineStr">
        <is>
          <t>3D Printing</t>
        </is>
      </c>
      <c r="L223" s="20" t="inlineStr">
        <is>
          <t>Venture Capital-Backed</t>
        </is>
      </c>
      <c r="M223" s="21" t="n">
        <v>13.44</v>
      </c>
      <c r="N223" s="22" t="inlineStr">
        <is>
          <t>Profitable</t>
        </is>
      </c>
      <c r="O223" s="23" t="inlineStr">
        <is>
          <t>Privately Held (backing)</t>
        </is>
      </c>
      <c r="P223" s="24" t="inlineStr">
        <is>
          <t>Venture Capital</t>
        </is>
      </c>
      <c r="Q223" s="25" t="inlineStr">
        <is>
          <t>www.peratech.com</t>
        </is>
      </c>
      <c r="R223" s="26" t="n">
        <v>16.0</v>
      </c>
      <c r="S223" s="27" t="inlineStr">
        <is>
          <t/>
        </is>
      </c>
      <c r="T223" s="28" t="inlineStr">
        <is>
          <t/>
        </is>
      </c>
      <c r="U223" s="29" t="n">
        <v>1996.0</v>
      </c>
      <c r="V223" s="30" t="inlineStr">
        <is>
          <t/>
        </is>
      </c>
      <c r="W223" s="31" t="inlineStr">
        <is>
          <t/>
        </is>
      </c>
      <c r="X223" s="32" t="inlineStr">
        <is>
          <t/>
        </is>
      </c>
      <c r="Y223" s="33" t="inlineStr">
        <is>
          <t/>
        </is>
      </c>
      <c r="Z223" s="34" t="inlineStr">
        <is>
          <t/>
        </is>
      </c>
      <c r="AA223" s="35" t="inlineStr">
        <is>
          <t/>
        </is>
      </c>
      <c r="AB223" s="36" t="inlineStr">
        <is>
          <t/>
        </is>
      </c>
      <c r="AC223" s="37" t="inlineStr">
        <is>
          <t/>
        </is>
      </c>
      <c r="AD223" s="38" t="inlineStr">
        <is>
          <t/>
        </is>
      </c>
      <c r="AE223" s="39" t="inlineStr">
        <is>
          <t>166558-69P</t>
        </is>
      </c>
      <c r="AF223" s="40" t="inlineStr">
        <is>
          <t>Doug Balderston</t>
        </is>
      </c>
      <c r="AG223" s="41" t="inlineStr">
        <is>
          <t>Chief Financial Officer, Chief Operating Officer &amp; Director</t>
        </is>
      </c>
      <c r="AH223" s="42" t="inlineStr">
        <is>
          <t>doug.balderston@peratech.com</t>
        </is>
      </c>
      <c r="AI223" s="43" t="inlineStr">
        <is>
          <t>+44 (0)17 4881 3670</t>
        </is>
      </c>
      <c r="AJ223" s="44" t="inlineStr">
        <is>
          <t>Richmond, United Kingdom</t>
        </is>
      </c>
      <c r="AK223" s="45" t="inlineStr">
        <is>
          <t>Old Repeater Station 851 Gatherley Road</t>
        </is>
      </c>
      <c r="AL223" s="46" t="inlineStr">
        <is>
          <t>Brompton on Swale</t>
        </is>
      </c>
      <c r="AM223" s="47" t="inlineStr">
        <is>
          <t>Richmond</t>
        </is>
      </c>
      <c r="AN223" s="48" t="inlineStr">
        <is>
          <t>England</t>
        </is>
      </c>
      <c r="AO223" s="49" t="inlineStr">
        <is>
          <t>DL10 7JH</t>
        </is>
      </c>
      <c r="AP223" s="50" t="inlineStr">
        <is>
          <t>United Kingdom</t>
        </is>
      </c>
      <c r="AQ223" s="51" t="inlineStr">
        <is>
          <t>+44 (0)17 4881 3670</t>
        </is>
      </c>
      <c r="AR223" s="52" t="inlineStr">
        <is>
          <t>+44 (0)17 4881 3679</t>
        </is>
      </c>
      <c r="AS223" s="53" t="inlineStr">
        <is>
          <t>info@peratech.com</t>
        </is>
      </c>
      <c r="AT223" s="54" t="inlineStr">
        <is>
          <t>Europe</t>
        </is>
      </c>
      <c r="AU223" s="55" t="inlineStr">
        <is>
          <t>Western Europe</t>
        </is>
      </c>
      <c r="AV223" s="56" t="inlineStr">
        <is>
          <t>The company raised GBP 9.2 million of venture funding in a deal led by Merck Ventures on October 23, 2017. Arie Capital and other undisclosed investors also participated in the round. The funds will be used to further scale the company's product engineering and manufacturing efforts. Previously, the company raised GBP 225,000 of venture funding from undisclosed investors on November 29, 2016, putting the pre-money valuation at GBP 9.48 million.</t>
        </is>
      </c>
      <c r="AW223" s="57" t="inlineStr">
        <is>
          <t>Arie Capital, Finance Yorkshire, Merck Ventures</t>
        </is>
      </c>
      <c r="AX223" s="58" t="n">
        <v>3.0</v>
      </c>
      <c r="AY223" s="59" t="inlineStr">
        <is>
          <t/>
        </is>
      </c>
      <c r="AZ223" s="60" t="inlineStr">
        <is>
          <t>YFM Equity Partners</t>
        </is>
      </c>
      <c r="BA223" s="61" t="inlineStr">
        <is>
          <t/>
        </is>
      </c>
      <c r="BB223" s="62" t="inlineStr">
        <is>
          <t>Arie Capital (www.ariecapital.com), Finance Yorkshire (www.finance-yorkshire.com), Merck Ventures (www.merck-ventures.com)</t>
        </is>
      </c>
      <c r="BC223" s="63" t="inlineStr">
        <is>
          <t>YFM Equity Partners (www.yfmep.com)</t>
        </is>
      </c>
      <c r="BD223" s="64" t="inlineStr">
        <is>
          <t/>
        </is>
      </c>
      <c r="BE223" s="65" t="inlineStr">
        <is>
          <t/>
        </is>
      </c>
      <c r="BF223" s="66" t="inlineStr">
        <is>
          <t>Finance Yorkshire (Debt Financing)</t>
        </is>
      </c>
      <c r="BG223" s="67" t="n">
        <v>40224.0</v>
      </c>
      <c r="BH223" s="68" t="n">
        <v>1.26</v>
      </c>
      <c r="BI223" s="69" t="inlineStr">
        <is>
          <t>Actual</t>
        </is>
      </c>
      <c r="BJ223" s="70" t="inlineStr">
        <is>
          <t/>
        </is>
      </c>
      <c r="BK223" s="71" t="inlineStr">
        <is>
          <t/>
        </is>
      </c>
      <c r="BL223" s="72" t="inlineStr">
        <is>
          <t>Early Stage VC</t>
        </is>
      </c>
      <c r="BM223" s="73" t="inlineStr">
        <is>
          <t/>
        </is>
      </c>
      <c r="BN223" s="74" t="inlineStr">
        <is>
          <t/>
        </is>
      </c>
      <c r="BO223" s="75" t="inlineStr">
        <is>
          <t>Venture Capital</t>
        </is>
      </c>
      <c r="BP223" s="76" t="inlineStr">
        <is>
          <t/>
        </is>
      </c>
      <c r="BQ223" s="77" t="inlineStr">
        <is>
          <t/>
        </is>
      </c>
      <c r="BR223" s="78" t="inlineStr">
        <is>
          <t/>
        </is>
      </c>
      <c r="BS223" s="79" t="inlineStr">
        <is>
          <t>Completed</t>
        </is>
      </c>
      <c r="BT223" s="80" t="n">
        <v>43031.0</v>
      </c>
      <c r="BU223" s="81" t="n">
        <v>10.33</v>
      </c>
      <c r="BV223" s="82" t="inlineStr">
        <is>
          <t>Actual</t>
        </is>
      </c>
      <c r="BW223" s="83" t="inlineStr">
        <is>
          <t/>
        </is>
      </c>
      <c r="BX223" s="84" t="inlineStr">
        <is>
          <t/>
        </is>
      </c>
      <c r="BY223" s="85" t="inlineStr">
        <is>
          <t>Early Stage VC</t>
        </is>
      </c>
      <c r="BZ223" s="86" t="inlineStr">
        <is>
          <t/>
        </is>
      </c>
      <c r="CA223" s="87" t="inlineStr">
        <is>
          <t/>
        </is>
      </c>
      <c r="CB223" s="88" t="inlineStr">
        <is>
          <t>Venture Capital</t>
        </is>
      </c>
      <c r="CC223" s="89" t="inlineStr">
        <is>
          <t/>
        </is>
      </c>
      <c r="CD223" s="90" t="inlineStr">
        <is>
          <t/>
        </is>
      </c>
      <c r="CE223" s="91" t="inlineStr">
        <is>
          <t/>
        </is>
      </c>
      <c r="CF223" s="92" t="inlineStr">
        <is>
          <t>Completed</t>
        </is>
      </c>
      <c r="CG223" s="93" t="inlineStr">
        <is>
          <t>0,37%</t>
        </is>
      </c>
      <c r="CH223" s="94" t="inlineStr">
        <is>
          <t>90</t>
        </is>
      </c>
      <c r="CI223" s="95" t="inlineStr">
        <is>
          <t>0,07%</t>
        </is>
      </c>
      <c r="CJ223" s="96" t="inlineStr">
        <is>
          <t>24,52%</t>
        </is>
      </c>
      <c r="CK223" s="97" t="inlineStr">
        <is>
          <t>0,73%</t>
        </is>
      </c>
      <c r="CL223" s="98" t="inlineStr">
        <is>
          <t>94</t>
        </is>
      </c>
      <c r="CM223" s="99" t="inlineStr">
        <is>
          <t>0,00%</t>
        </is>
      </c>
      <c r="CN223" s="100" t="inlineStr">
        <is>
          <t>20</t>
        </is>
      </c>
      <c r="CO223" s="101" t="inlineStr">
        <is>
          <t>0,00%</t>
        </is>
      </c>
      <c r="CP223" s="102" t="inlineStr">
        <is>
          <t>37</t>
        </is>
      </c>
      <c r="CQ223" s="103" t="inlineStr">
        <is>
          <t>1,46%</t>
        </is>
      </c>
      <c r="CR223" s="104" t="inlineStr">
        <is>
          <t>94</t>
        </is>
      </c>
      <c r="CS223" s="105" t="inlineStr">
        <is>
          <t/>
        </is>
      </c>
      <c r="CT223" s="106" t="inlineStr">
        <is>
          <t/>
        </is>
      </c>
      <c r="CU223" s="107" t="inlineStr">
        <is>
          <t>0,00%</t>
        </is>
      </c>
      <c r="CV223" s="108" t="inlineStr">
        <is>
          <t>21</t>
        </is>
      </c>
      <c r="CW223" s="109" t="inlineStr">
        <is>
          <t>3,21x</t>
        </is>
      </c>
      <c r="CX223" s="110" t="inlineStr">
        <is>
          <t>73</t>
        </is>
      </c>
      <c r="CY223" s="111" t="inlineStr">
        <is>
          <t>0,04x</t>
        </is>
      </c>
      <c r="CZ223" s="112" t="inlineStr">
        <is>
          <t>1,18%</t>
        </is>
      </c>
      <c r="DA223" s="113" t="inlineStr">
        <is>
          <t>6,18x</t>
        </is>
      </c>
      <c r="DB223" s="114" t="inlineStr">
        <is>
          <t>84</t>
        </is>
      </c>
      <c r="DC223" s="115" t="inlineStr">
        <is>
          <t>0,24x</t>
        </is>
      </c>
      <c r="DD223" s="116" t="inlineStr">
        <is>
          <t>24</t>
        </is>
      </c>
      <c r="DE223" s="117" t="inlineStr">
        <is>
          <t>2,13x</t>
        </is>
      </c>
      <c r="DF223" s="118" t="inlineStr">
        <is>
          <t>67</t>
        </is>
      </c>
      <c r="DG223" s="119" t="inlineStr">
        <is>
          <t>10,22x</t>
        </is>
      </c>
      <c r="DH223" s="120" t="inlineStr">
        <is>
          <t>87</t>
        </is>
      </c>
      <c r="DI223" s="121" t="inlineStr">
        <is>
          <t/>
        </is>
      </c>
      <c r="DJ223" s="122" t="inlineStr">
        <is>
          <t/>
        </is>
      </c>
      <c r="DK223" s="123" t="inlineStr">
        <is>
          <t>0,24x</t>
        </is>
      </c>
      <c r="DL223" s="124" t="inlineStr">
        <is>
          <t>27</t>
        </is>
      </c>
      <c r="DM223" s="125" t="inlineStr">
        <is>
          <t>769</t>
        </is>
      </c>
      <c r="DN223" s="126" t="inlineStr">
        <is>
          <t>63</t>
        </is>
      </c>
      <c r="DO223" s="127" t="inlineStr">
        <is>
          <t>8,92%</t>
        </is>
      </c>
      <c r="DP223" s="128" t="inlineStr">
        <is>
          <t/>
        </is>
      </c>
      <c r="DQ223" s="129" t="inlineStr">
        <is>
          <t/>
        </is>
      </c>
      <c r="DR223" s="130" t="inlineStr">
        <is>
          <t/>
        </is>
      </c>
      <c r="DS223" s="131" t="inlineStr">
        <is>
          <t>365</t>
        </is>
      </c>
      <c r="DT223" s="132" t="inlineStr">
        <is>
          <t>5</t>
        </is>
      </c>
      <c r="DU223" s="133" t="inlineStr">
        <is>
          <t>1,39%</t>
        </is>
      </c>
      <c r="DV223" s="134" t="inlineStr">
        <is>
          <t>88</t>
        </is>
      </c>
      <c r="DW223" s="135" t="inlineStr">
        <is>
          <t>3</t>
        </is>
      </c>
      <c r="DX223" s="136" t="inlineStr">
        <is>
          <t>3,53%</t>
        </is>
      </c>
      <c r="DY223" s="137" t="inlineStr">
        <is>
          <t>PitchBook Research</t>
        </is>
      </c>
      <c r="DZ223" s="785">
        <f>HYPERLINK("https://my.pitchbook.com?c=90986-68", "View company online")</f>
      </c>
    </row>
    <row r="224">
      <c r="A224" s="139" t="inlineStr">
        <is>
          <t>117174-70</t>
        </is>
      </c>
      <c r="B224" s="140" t="inlineStr">
        <is>
          <t>BrickVest</t>
        </is>
      </c>
      <c r="C224" s="141" t="inlineStr">
        <is>
          <t/>
        </is>
      </c>
      <c r="D224" s="142" t="inlineStr">
        <is>
          <t/>
        </is>
      </c>
      <c r="E224" s="143" t="inlineStr">
        <is>
          <t>117174-70</t>
        </is>
      </c>
      <c r="F224" s="144" t="inlineStr">
        <is>
          <t>Provider of a real estate investment platform designed to redefine the investor-deal sponsor relationship. The company's platform directly connects investors with a range of investment opportunities in a transparent way and provides investors online access to opportunities based on the preferred asset class, geography and return profile, enabling users to invest directly in real estate and actively manage these investments.</t>
        </is>
      </c>
      <c r="G224" s="145" t="inlineStr">
        <is>
          <t>Financial Services</t>
        </is>
      </c>
      <c r="H224" s="146" t="inlineStr">
        <is>
          <t>Other Financial Services</t>
        </is>
      </c>
      <c r="I224" s="147" t="inlineStr">
        <is>
          <t>Real Estate Investment Trusts (REITs)</t>
        </is>
      </c>
      <c r="J224" s="148" t="inlineStr">
        <is>
          <t>Real Estate Investment Trusts (REITs)*; Other Financial Services; Financial Software</t>
        </is>
      </c>
      <c r="K224" s="149" t="inlineStr">
        <is>
          <t>FinTech</t>
        </is>
      </c>
      <c r="L224" s="150" t="inlineStr">
        <is>
          <t>Venture Capital-Backed</t>
        </is>
      </c>
      <c r="M224" s="151" t="n">
        <v>13.57</v>
      </c>
      <c r="N224" s="152" t="inlineStr">
        <is>
          <t>Generating Revenue</t>
        </is>
      </c>
      <c r="O224" s="153" t="inlineStr">
        <is>
          <t>Privately Held (backing)</t>
        </is>
      </c>
      <c r="P224" s="154" t="inlineStr">
        <is>
          <t>Venture Capital</t>
        </is>
      </c>
      <c r="Q224" s="155" t="inlineStr">
        <is>
          <t>www.brickvest.com</t>
        </is>
      </c>
      <c r="R224" s="156" t="n">
        <v>15.0</v>
      </c>
      <c r="S224" s="157" t="inlineStr">
        <is>
          <t/>
        </is>
      </c>
      <c r="T224" s="158" t="inlineStr">
        <is>
          <t/>
        </is>
      </c>
      <c r="U224" s="159" t="n">
        <v>2014.0</v>
      </c>
      <c r="V224" s="160" t="inlineStr">
        <is>
          <t/>
        </is>
      </c>
      <c r="W224" s="161" t="inlineStr">
        <is>
          <t/>
        </is>
      </c>
      <c r="X224" s="162" t="inlineStr">
        <is>
          <t/>
        </is>
      </c>
      <c r="Y224" s="163" t="n">
        <v>0.02846</v>
      </c>
      <c r="Z224" s="164" t="n">
        <v>0.02846</v>
      </c>
      <c r="AA224" s="165" t="n">
        <v>0.00949</v>
      </c>
      <c r="AB224" s="166" t="inlineStr">
        <is>
          <t/>
        </is>
      </c>
      <c r="AC224" s="167" t="n">
        <v>0.00949</v>
      </c>
      <c r="AD224" s="168" t="inlineStr">
        <is>
          <t>FY 2016</t>
        </is>
      </c>
      <c r="AE224" s="169" t="inlineStr">
        <is>
          <t>105573-61P</t>
        </is>
      </c>
      <c r="AF224" s="170" t="inlineStr">
        <is>
          <t>Emmanuel Lumineau</t>
        </is>
      </c>
      <c r="AG224" s="171" t="inlineStr">
        <is>
          <t>Co-Founder, Board Member, Chief Executive Officer</t>
        </is>
      </c>
      <c r="AH224" s="172" t="inlineStr">
        <is>
          <t>emmanuel@brickvest.com</t>
        </is>
      </c>
      <c r="AI224" s="173" t="inlineStr">
        <is>
          <t>+44 (0)20 3859 7317</t>
        </is>
      </c>
      <c r="AJ224" s="174" t="inlineStr">
        <is>
          <t>London, United Kingdom</t>
        </is>
      </c>
      <c r="AK224" s="175" t="inlineStr">
        <is>
          <t>81 Rivington Street</t>
        </is>
      </c>
      <c r="AL224" s="176" t="inlineStr">
        <is>
          <t/>
        </is>
      </c>
      <c r="AM224" s="177" t="inlineStr">
        <is>
          <t>London</t>
        </is>
      </c>
      <c r="AN224" s="178" t="inlineStr">
        <is>
          <t>England</t>
        </is>
      </c>
      <c r="AO224" s="179" t="inlineStr">
        <is>
          <t>EC2A 3AY</t>
        </is>
      </c>
      <c r="AP224" s="180" t="inlineStr">
        <is>
          <t>United Kingdom</t>
        </is>
      </c>
      <c r="AQ224" s="181" t="inlineStr">
        <is>
          <t>+44 (0)20 3859 7317</t>
        </is>
      </c>
      <c r="AR224" s="182" t="inlineStr">
        <is>
          <t/>
        </is>
      </c>
      <c r="AS224" s="183" t="inlineStr">
        <is>
          <t/>
        </is>
      </c>
      <c r="AT224" s="184" t="inlineStr">
        <is>
          <t>Europe</t>
        </is>
      </c>
      <c r="AU224" s="185" t="inlineStr">
        <is>
          <t>Western Europe</t>
        </is>
      </c>
      <c r="AV224" s="186" t="inlineStr">
        <is>
          <t>The company raised GBP 7 million of Series A venture funding from lead investor Berlin Hyp on October 4, 2017. Jean Romain Lhomme and other undisclosed investors also participated in the round. The funds will be used to continue investing in the company's in-house technology and scaling its innovative platform in line with demand for accessible real estate investment. Previously, the company raised GBP 2.82 million of venture funding from undisclosed investors on June 1, 2017, putting the pre-money valuation at GBP 32.95 million.</t>
        </is>
      </c>
      <c r="AW224" s="187" t="inlineStr">
        <is>
          <t>Berlin Hyp, Global Founders Capital, Jean-Romain Lhomme, Richard Peiser</t>
        </is>
      </c>
      <c r="AX224" s="188" t="n">
        <v>4.0</v>
      </c>
      <c r="AY224" s="189" t="inlineStr">
        <is>
          <t/>
        </is>
      </c>
      <c r="AZ224" s="190" t="inlineStr">
        <is>
          <t/>
        </is>
      </c>
      <c r="BA224" s="191" t="inlineStr">
        <is>
          <t/>
        </is>
      </c>
      <c r="BB224" s="192" t="inlineStr">
        <is>
          <t>Berlin Hyp (www.berlinhyp.de), Global Founders Capital (www.globalfounders.vc)</t>
        </is>
      </c>
      <c r="BC224" s="193" t="inlineStr">
        <is>
          <t/>
        </is>
      </c>
      <c r="BD224" s="194" t="inlineStr">
        <is>
          <t/>
        </is>
      </c>
      <c r="BE224" s="195" t="inlineStr">
        <is>
          <t>Lawson Conner (Consulting), BDO UK (Auditor), Nabarro (Legal Advisor), CMS Hasche Sigle (Legal Advisor), MJ Hudson (Legal Advisor)</t>
        </is>
      </c>
      <c r="BF224" s="196" t="inlineStr">
        <is>
          <t>MJ Hudson (Legal Advisor), BDO UK (Auditor), CMS Hasche Sigle (Legal Advisor), Nabarro (Legal Advisor)</t>
        </is>
      </c>
      <c r="BG224" s="197" t="n">
        <v>42167.0</v>
      </c>
      <c r="BH224" s="198" t="n">
        <v>0.97</v>
      </c>
      <c r="BI224" s="199" t="inlineStr">
        <is>
          <t>Actual</t>
        </is>
      </c>
      <c r="BJ224" s="200" t="n">
        <v>9.01</v>
      </c>
      <c r="BK224" s="201" t="inlineStr">
        <is>
          <t>Actual</t>
        </is>
      </c>
      <c r="BL224" s="202" t="inlineStr">
        <is>
          <t>Seed Round</t>
        </is>
      </c>
      <c r="BM224" s="203" t="inlineStr">
        <is>
          <t>Seed</t>
        </is>
      </c>
      <c r="BN224" s="204" t="inlineStr">
        <is>
          <t/>
        </is>
      </c>
      <c r="BO224" s="205" t="inlineStr">
        <is>
          <t>Venture Capital</t>
        </is>
      </c>
      <c r="BP224" s="206" t="inlineStr">
        <is>
          <t/>
        </is>
      </c>
      <c r="BQ224" s="207" t="inlineStr">
        <is>
          <t/>
        </is>
      </c>
      <c r="BR224" s="208" t="inlineStr">
        <is>
          <t/>
        </is>
      </c>
      <c r="BS224" s="209" t="inlineStr">
        <is>
          <t>Completed</t>
        </is>
      </c>
      <c r="BT224" s="210" t="n">
        <v>43012.0</v>
      </c>
      <c r="BU224" s="211" t="n">
        <v>7.86</v>
      </c>
      <c r="BV224" s="212" t="inlineStr">
        <is>
          <t>Actual</t>
        </is>
      </c>
      <c r="BW224" s="213" t="inlineStr">
        <is>
          <t/>
        </is>
      </c>
      <c r="BX224" s="214" t="inlineStr">
        <is>
          <t/>
        </is>
      </c>
      <c r="BY224" s="215" t="inlineStr">
        <is>
          <t>Early Stage VC</t>
        </is>
      </c>
      <c r="BZ224" s="216" t="inlineStr">
        <is>
          <t>Series A</t>
        </is>
      </c>
      <c r="CA224" s="217" t="inlineStr">
        <is>
          <t/>
        </is>
      </c>
      <c r="CB224" s="218" t="inlineStr">
        <is>
          <t>Venture Capital</t>
        </is>
      </c>
      <c r="CC224" s="219" t="inlineStr">
        <is>
          <t/>
        </is>
      </c>
      <c r="CD224" s="220" t="inlineStr">
        <is>
          <t/>
        </is>
      </c>
      <c r="CE224" s="221" t="inlineStr">
        <is>
          <t/>
        </is>
      </c>
      <c r="CF224" s="222" t="inlineStr">
        <is>
          <t>Completed</t>
        </is>
      </c>
      <c r="CG224" s="223" t="inlineStr">
        <is>
          <t>-1,66%</t>
        </is>
      </c>
      <c r="CH224" s="224" t="inlineStr">
        <is>
          <t>11</t>
        </is>
      </c>
      <c r="CI224" s="225" t="inlineStr">
        <is>
          <t>-0,01%</t>
        </is>
      </c>
      <c r="CJ224" s="226" t="inlineStr">
        <is>
          <t>-0,61%</t>
        </is>
      </c>
      <c r="CK224" s="227" t="inlineStr">
        <is>
          <t>-3,66%</t>
        </is>
      </c>
      <c r="CL224" s="228" t="inlineStr">
        <is>
          <t>10</t>
        </is>
      </c>
      <c r="CM224" s="229" t="inlineStr">
        <is>
          <t>0,35%</t>
        </is>
      </c>
      <c r="CN224" s="230" t="inlineStr">
        <is>
          <t>83</t>
        </is>
      </c>
      <c r="CO224" s="231" t="inlineStr">
        <is>
          <t>-7,32%</t>
        </is>
      </c>
      <c r="CP224" s="232" t="inlineStr">
        <is>
          <t>17</t>
        </is>
      </c>
      <c r="CQ224" s="233" t="inlineStr">
        <is>
          <t>0,00%</t>
        </is>
      </c>
      <c r="CR224" s="234" t="inlineStr">
        <is>
          <t>20</t>
        </is>
      </c>
      <c r="CS224" s="235" t="inlineStr">
        <is>
          <t>-0,06%</t>
        </is>
      </c>
      <c r="CT224" s="236" t="inlineStr">
        <is>
          <t>6</t>
        </is>
      </c>
      <c r="CU224" s="237" t="inlineStr">
        <is>
          <t>0,75%</t>
        </is>
      </c>
      <c r="CV224" s="238" t="inlineStr">
        <is>
          <t>95</t>
        </is>
      </c>
      <c r="CW224" s="239" t="inlineStr">
        <is>
          <t>1,75x</t>
        </is>
      </c>
      <c r="CX224" s="240" t="inlineStr">
        <is>
          <t>62</t>
        </is>
      </c>
      <c r="CY224" s="241" t="inlineStr">
        <is>
          <t>-0,02x</t>
        </is>
      </c>
      <c r="CZ224" s="242" t="inlineStr">
        <is>
          <t>-1,14%</t>
        </is>
      </c>
      <c r="DA224" s="243" t="inlineStr">
        <is>
          <t>0,90x</t>
        </is>
      </c>
      <c r="DB224" s="244" t="inlineStr">
        <is>
          <t>49</t>
        </is>
      </c>
      <c r="DC224" s="245" t="inlineStr">
        <is>
          <t>2,61x</t>
        </is>
      </c>
      <c r="DD224" s="246" t="inlineStr">
        <is>
          <t>66</t>
        </is>
      </c>
      <c r="DE224" s="247" t="inlineStr">
        <is>
          <t>1,11x</t>
        </is>
      </c>
      <c r="DF224" s="248" t="inlineStr">
        <is>
          <t>53</t>
        </is>
      </c>
      <c r="DG224" s="249" t="inlineStr">
        <is>
          <t>0,69x</t>
        </is>
      </c>
      <c r="DH224" s="250" t="inlineStr">
        <is>
          <t>42</t>
        </is>
      </c>
      <c r="DI224" s="251" t="inlineStr">
        <is>
          <t>3,10x</t>
        </is>
      </c>
      <c r="DJ224" s="252" t="inlineStr">
        <is>
          <t>68</t>
        </is>
      </c>
      <c r="DK224" s="253" t="inlineStr">
        <is>
          <t>2,12x</t>
        </is>
      </c>
      <c r="DL224" s="254" t="inlineStr">
        <is>
          <t>65</t>
        </is>
      </c>
      <c r="DM224" s="255" t="inlineStr">
        <is>
          <t>423</t>
        </is>
      </c>
      <c r="DN224" s="256" t="inlineStr">
        <is>
          <t>-55</t>
        </is>
      </c>
      <c r="DO224" s="257" t="inlineStr">
        <is>
          <t>-11,51%</t>
        </is>
      </c>
      <c r="DP224" s="258" t="inlineStr">
        <is>
          <t>2.452</t>
        </is>
      </c>
      <c r="DQ224" s="259" t="inlineStr">
        <is>
          <t>-4</t>
        </is>
      </c>
      <c r="DR224" s="260" t="inlineStr">
        <is>
          <t>-0,16%</t>
        </is>
      </c>
      <c r="DS224" s="261" t="inlineStr">
        <is>
          <t>25</t>
        </is>
      </c>
      <c r="DT224" s="262" t="inlineStr">
        <is>
          <t>-1</t>
        </is>
      </c>
      <c r="DU224" s="263" t="inlineStr">
        <is>
          <t>-3,85%</t>
        </is>
      </c>
      <c r="DV224" s="264" t="inlineStr">
        <is>
          <t>791</t>
        </is>
      </c>
      <c r="DW224" s="265" t="inlineStr">
        <is>
          <t>1</t>
        </is>
      </c>
      <c r="DX224" s="266" t="inlineStr">
        <is>
          <t>0,13%</t>
        </is>
      </c>
      <c r="DY224" s="267" t="inlineStr">
        <is>
          <t>PitchBook Research</t>
        </is>
      </c>
      <c r="DZ224" s="786">
        <f>HYPERLINK("https://my.pitchbook.com?c=117174-70", "View company online")</f>
      </c>
    </row>
    <row r="225">
      <c r="A225" s="9" t="inlineStr">
        <is>
          <t>169194-70</t>
        </is>
      </c>
      <c r="B225" s="10" t="inlineStr">
        <is>
          <t>Zeitgold</t>
        </is>
      </c>
      <c r="C225" s="11" t="inlineStr">
        <is>
          <t/>
        </is>
      </c>
      <c r="D225" s="12" t="inlineStr">
        <is>
          <t/>
        </is>
      </c>
      <c r="E225" s="13" t="inlineStr">
        <is>
          <t>169194-70</t>
        </is>
      </c>
      <c r="F225" s="14" t="inlineStr">
        <is>
          <t>Developer of a mobile application designed to free small business owners from paperwork. The company's mobile application is a financial management tool to scan and archive paperwork and enables small business owners to do the financial administration tasks on their smartphone and have transparency of their cash situation, thus helping them to manage bookkeeping, payroll, invoice payments and coordinate with the tax adviser.</t>
        </is>
      </c>
      <c r="G225" s="15" t="inlineStr">
        <is>
          <t>Information Technology</t>
        </is>
      </c>
      <c r="H225" s="16" t="inlineStr">
        <is>
          <t>Software</t>
        </is>
      </c>
      <c r="I225" s="17" t="inlineStr">
        <is>
          <t>Financial Software</t>
        </is>
      </c>
      <c r="J225" s="18" t="inlineStr">
        <is>
          <t>Financial Software*; Other Commercial Services</t>
        </is>
      </c>
      <c r="K225" s="19" t="inlineStr">
        <is>
          <t>FinTech, Mobile</t>
        </is>
      </c>
      <c r="L225" s="20" t="inlineStr">
        <is>
          <t>Venture Capital-Backed</t>
        </is>
      </c>
      <c r="M225" s="21" t="n">
        <v>14.2</v>
      </c>
      <c r="N225" s="22" t="inlineStr">
        <is>
          <t>Generating Revenue</t>
        </is>
      </c>
      <c r="O225" s="23" t="inlineStr">
        <is>
          <t>Privately Held (backing)</t>
        </is>
      </c>
      <c r="P225" s="24" t="inlineStr">
        <is>
          <t>Venture Capital</t>
        </is>
      </c>
      <c r="Q225" s="25" t="inlineStr">
        <is>
          <t>www.zeitgold.com</t>
        </is>
      </c>
      <c r="R225" s="26" t="n">
        <v>20.0</v>
      </c>
      <c r="S225" s="27" t="inlineStr">
        <is>
          <t/>
        </is>
      </c>
      <c r="T225" s="28" t="inlineStr">
        <is>
          <t/>
        </is>
      </c>
      <c r="U225" s="29" t="n">
        <v>2015.0</v>
      </c>
      <c r="V225" s="30" t="inlineStr">
        <is>
          <t/>
        </is>
      </c>
      <c r="W225" s="31" t="inlineStr">
        <is>
          <t/>
        </is>
      </c>
      <c r="X225" s="32" t="inlineStr">
        <is>
          <t/>
        </is>
      </c>
      <c r="Y225" s="33" t="inlineStr">
        <is>
          <t/>
        </is>
      </c>
      <c r="Z225" s="34" t="inlineStr">
        <is>
          <t/>
        </is>
      </c>
      <c r="AA225" s="35" t="inlineStr">
        <is>
          <t/>
        </is>
      </c>
      <c r="AB225" s="36" t="inlineStr">
        <is>
          <t/>
        </is>
      </c>
      <c r="AC225" s="37" t="inlineStr">
        <is>
          <t/>
        </is>
      </c>
      <c r="AD225" s="38" t="inlineStr">
        <is>
          <t/>
        </is>
      </c>
      <c r="AE225" s="39" t="inlineStr">
        <is>
          <t>49839-31P</t>
        </is>
      </c>
      <c r="AF225" s="40" t="inlineStr">
        <is>
          <t>Jan Deepen</t>
        </is>
      </c>
      <c r="AG225" s="41" t="inlineStr">
        <is>
          <t>Managing Director &amp; Co-Founder</t>
        </is>
      </c>
      <c r="AH225" s="42" t="inlineStr">
        <is>
          <t>jan@zeitgold.com</t>
        </is>
      </c>
      <c r="AI225" s="43" t="inlineStr">
        <is>
          <t>+49 (0)30 3119 8555</t>
        </is>
      </c>
      <c r="AJ225" s="44" t="inlineStr">
        <is>
          <t>Berlin, Germany</t>
        </is>
      </c>
      <c r="AK225" s="45" t="inlineStr">
        <is>
          <t>Rosa-Luxemburg-Str. 14</t>
        </is>
      </c>
      <c r="AL225" s="46" t="inlineStr">
        <is>
          <t/>
        </is>
      </c>
      <c r="AM225" s="47" t="inlineStr">
        <is>
          <t>Berlin</t>
        </is>
      </c>
      <c r="AN225" s="48" t="inlineStr">
        <is>
          <t/>
        </is>
      </c>
      <c r="AO225" s="49" t="inlineStr">
        <is>
          <t>10178</t>
        </is>
      </c>
      <c r="AP225" s="50" t="inlineStr">
        <is>
          <t>Germany</t>
        </is>
      </c>
      <c r="AQ225" s="51" t="inlineStr">
        <is>
          <t>+49 (0)30 3119 8555</t>
        </is>
      </c>
      <c r="AR225" s="52" t="inlineStr">
        <is>
          <t/>
        </is>
      </c>
      <c r="AS225" s="53" t="inlineStr">
        <is>
          <t>info@zeitgold.com</t>
        </is>
      </c>
      <c r="AT225" s="54" t="inlineStr">
        <is>
          <t>Europe</t>
        </is>
      </c>
      <c r="AU225" s="55" t="inlineStr">
        <is>
          <t>Western Europe</t>
        </is>
      </c>
      <c r="AV225" s="56" t="inlineStr">
        <is>
          <t>The company raised EUR 10 million of Series A venture funding from Battery Ventures and Holtzbrinck Ventures on September 13, 2017. The company intends to use the funds to open a new R&amp;D facility in Tel Aviv. Previously, the company raised EUR 4.2 million of seed funding from Holtzbrinck Ventures and Battery Ventures on February 8, 2017.</t>
        </is>
      </c>
      <c r="AW225" s="57" t="inlineStr">
        <is>
          <t>Battery Ventures, Holtzbrinck Ventures</t>
        </is>
      </c>
      <c r="AX225" s="58" t="n">
        <v>2.0</v>
      </c>
      <c r="AY225" s="59" t="inlineStr">
        <is>
          <t/>
        </is>
      </c>
      <c r="AZ225" s="60" t="inlineStr">
        <is>
          <t/>
        </is>
      </c>
      <c r="BA225" s="61" t="inlineStr">
        <is>
          <t/>
        </is>
      </c>
      <c r="BB225" s="62" t="inlineStr">
        <is>
          <t>Battery Ventures (www.battery.com), Holtzbrinck Ventures (www.holtzbrinck-ventures.com)</t>
        </is>
      </c>
      <c r="BC225" s="63" t="inlineStr">
        <is>
          <t/>
        </is>
      </c>
      <c r="BD225" s="64" t="inlineStr">
        <is>
          <t/>
        </is>
      </c>
      <c r="BE225" s="65" t="inlineStr">
        <is>
          <t/>
        </is>
      </c>
      <c r="BF225" s="66" t="inlineStr">
        <is>
          <t/>
        </is>
      </c>
      <c r="BG225" s="67" t="n">
        <v>42774.0</v>
      </c>
      <c r="BH225" s="68" t="n">
        <v>4.2</v>
      </c>
      <c r="BI225" s="69" t="inlineStr">
        <is>
          <t>Actual</t>
        </is>
      </c>
      <c r="BJ225" s="70" t="inlineStr">
        <is>
          <t/>
        </is>
      </c>
      <c r="BK225" s="71" t="inlineStr">
        <is>
          <t/>
        </is>
      </c>
      <c r="BL225" s="72" t="inlineStr">
        <is>
          <t>Seed Round</t>
        </is>
      </c>
      <c r="BM225" s="73" t="inlineStr">
        <is>
          <t>Seed</t>
        </is>
      </c>
      <c r="BN225" s="74" t="inlineStr">
        <is>
          <t/>
        </is>
      </c>
      <c r="BO225" s="75" t="inlineStr">
        <is>
          <t>Venture Capital</t>
        </is>
      </c>
      <c r="BP225" s="76" t="inlineStr">
        <is>
          <t/>
        </is>
      </c>
      <c r="BQ225" s="77" t="inlineStr">
        <is>
          <t/>
        </is>
      </c>
      <c r="BR225" s="78" t="inlineStr">
        <is>
          <t/>
        </is>
      </c>
      <c r="BS225" s="79" t="inlineStr">
        <is>
          <t>Completed</t>
        </is>
      </c>
      <c r="BT225" s="80" t="n">
        <v>42991.0</v>
      </c>
      <c r="BU225" s="81" t="n">
        <v>10.0</v>
      </c>
      <c r="BV225" s="82" t="inlineStr">
        <is>
          <t>Actual</t>
        </is>
      </c>
      <c r="BW225" s="83" t="inlineStr">
        <is>
          <t/>
        </is>
      </c>
      <c r="BX225" s="84" t="inlineStr">
        <is>
          <t/>
        </is>
      </c>
      <c r="BY225" s="85" t="inlineStr">
        <is>
          <t>Early Stage VC</t>
        </is>
      </c>
      <c r="BZ225" s="86" t="inlineStr">
        <is>
          <t>Series A</t>
        </is>
      </c>
      <c r="CA225" s="87" t="inlineStr">
        <is>
          <t/>
        </is>
      </c>
      <c r="CB225" s="88" t="inlineStr">
        <is>
          <t>Venture Capital</t>
        </is>
      </c>
      <c r="CC225" s="89" t="inlineStr">
        <is>
          <t/>
        </is>
      </c>
      <c r="CD225" s="90" t="inlineStr">
        <is>
          <t/>
        </is>
      </c>
      <c r="CE225" s="91" t="inlineStr">
        <is>
          <t/>
        </is>
      </c>
      <c r="CF225" s="92" t="inlineStr">
        <is>
          <t>Completed</t>
        </is>
      </c>
      <c r="CG225" s="93" t="inlineStr">
        <is>
          <t>-0,52%</t>
        </is>
      </c>
      <c r="CH225" s="94" t="inlineStr">
        <is>
          <t>18</t>
        </is>
      </c>
      <c r="CI225" s="95" t="inlineStr">
        <is>
          <t>-0,02%</t>
        </is>
      </c>
      <c r="CJ225" s="96" t="inlineStr">
        <is>
          <t>-4,61%</t>
        </is>
      </c>
      <c r="CK225" s="97" t="inlineStr">
        <is>
          <t>-1,47%</t>
        </is>
      </c>
      <c r="CL225" s="98" t="inlineStr">
        <is>
          <t>17</t>
        </is>
      </c>
      <c r="CM225" s="99" t="inlineStr">
        <is>
          <t>0,43%</t>
        </is>
      </c>
      <c r="CN225" s="100" t="inlineStr">
        <is>
          <t>86</t>
        </is>
      </c>
      <c r="CO225" s="101" t="inlineStr">
        <is>
          <t>-2,95%</t>
        </is>
      </c>
      <c r="CP225" s="102" t="inlineStr">
        <is>
          <t>27</t>
        </is>
      </c>
      <c r="CQ225" s="103" t="inlineStr">
        <is>
          <t>0,00%</t>
        </is>
      </c>
      <c r="CR225" s="104" t="inlineStr">
        <is>
          <t>20</t>
        </is>
      </c>
      <c r="CS225" s="105" t="inlineStr">
        <is>
          <t>0,87%</t>
        </is>
      </c>
      <c r="CT225" s="106" t="inlineStr">
        <is>
          <t>93</t>
        </is>
      </c>
      <c r="CU225" s="107" t="inlineStr">
        <is>
          <t>0,00%</t>
        </is>
      </c>
      <c r="CV225" s="108" t="inlineStr">
        <is>
          <t>21</t>
        </is>
      </c>
      <c r="CW225" s="109" t="inlineStr">
        <is>
          <t>2,08x</t>
        </is>
      </c>
      <c r="CX225" s="110" t="inlineStr">
        <is>
          <t>65</t>
        </is>
      </c>
      <c r="CY225" s="111" t="inlineStr">
        <is>
          <t>0,01x</t>
        </is>
      </c>
      <c r="CZ225" s="112" t="inlineStr">
        <is>
          <t>0,31%</t>
        </is>
      </c>
      <c r="DA225" s="113" t="inlineStr">
        <is>
          <t>3,43x</t>
        </is>
      </c>
      <c r="DB225" s="114" t="inlineStr">
        <is>
          <t>76</t>
        </is>
      </c>
      <c r="DC225" s="115" t="inlineStr">
        <is>
          <t>0,73x</t>
        </is>
      </c>
      <c r="DD225" s="116" t="inlineStr">
        <is>
          <t>42</t>
        </is>
      </c>
      <c r="DE225" s="117" t="inlineStr">
        <is>
          <t>5,00x</t>
        </is>
      </c>
      <c r="DF225" s="118" t="inlineStr">
        <is>
          <t>81</t>
        </is>
      </c>
      <c r="DG225" s="119" t="inlineStr">
        <is>
          <t>1,86x</t>
        </is>
      </c>
      <c r="DH225" s="120" t="inlineStr">
        <is>
          <t>63</t>
        </is>
      </c>
      <c r="DI225" s="121" t="inlineStr">
        <is>
          <t>1,42x</t>
        </is>
      </c>
      <c r="DJ225" s="122" t="inlineStr">
        <is>
          <t>56</t>
        </is>
      </c>
      <c r="DK225" s="123" t="inlineStr">
        <is>
          <t>0,04x</t>
        </is>
      </c>
      <c r="DL225" s="124" t="inlineStr">
        <is>
          <t>9</t>
        </is>
      </c>
      <c r="DM225" s="125" t="inlineStr">
        <is>
          <t>1.860</t>
        </is>
      </c>
      <c r="DN225" s="126" t="inlineStr">
        <is>
          <t>-21</t>
        </is>
      </c>
      <c r="DO225" s="127" t="inlineStr">
        <is>
          <t>-1,12%</t>
        </is>
      </c>
      <c r="DP225" s="128" t="inlineStr">
        <is>
          <t>1.124</t>
        </is>
      </c>
      <c r="DQ225" s="129" t="inlineStr">
        <is>
          <t>8</t>
        </is>
      </c>
      <c r="DR225" s="130" t="inlineStr">
        <is>
          <t>0,72%</t>
        </is>
      </c>
      <c r="DS225" s="131" t="inlineStr">
        <is>
          <t>66</t>
        </is>
      </c>
      <c r="DT225" s="132" t="inlineStr">
        <is>
          <t>0</t>
        </is>
      </c>
      <c r="DU225" s="133" t="inlineStr">
        <is>
          <t>0,00%</t>
        </is>
      </c>
      <c r="DV225" s="134" t="inlineStr">
        <is>
          <t>16</t>
        </is>
      </c>
      <c r="DW225" s="135" t="inlineStr">
        <is>
          <t>0</t>
        </is>
      </c>
      <c r="DX225" s="136" t="inlineStr">
        <is>
          <t>0,00%</t>
        </is>
      </c>
      <c r="DY225" s="137" t="inlineStr">
        <is>
          <t>PitchBook Research</t>
        </is>
      </c>
      <c r="DZ225" s="785">
        <f>HYPERLINK("https://my.pitchbook.com?c=169194-70", "View company online")</f>
      </c>
    </row>
    <row r="226">
      <c r="A226" s="139" t="inlineStr">
        <is>
          <t>98105-68</t>
        </is>
      </c>
      <c r="B226" s="140" t="inlineStr">
        <is>
          <t>Compeon</t>
        </is>
      </c>
      <c r="C226" s="141" t="inlineStr">
        <is>
          <t/>
        </is>
      </c>
      <c r="D226" s="142" t="inlineStr">
        <is>
          <t/>
        </is>
      </c>
      <c r="E226" s="143" t="inlineStr">
        <is>
          <t>98105-68</t>
        </is>
      </c>
      <c r="F226" s="144" t="inlineStr">
        <is>
          <t>Provider of an online SME financing platform designed to offer commercial financing services. The company's online SME financing platform is the only product and vendor-independent full-service provider for SME financing, providing factoring and alternative financing such as mezzanine capital, fine-trading, project financing and private debt to companies and their consultants, freelancers and self-employed people.</t>
        </is>
      </c>
      <c r="G226" s="145" t="inlineStr">
        <is>
          <t>Information Technology</t>
        </is>
      </c>
      <c r="H226" s="146" t="inlineStr">
        <is>
          <t>Software</t>
        </is>
      </c>
      <c r="I226" s="147" t="inlineStr">
        <is>
          <t>Financial Software</t>
        </is>
      </c>
      <c r="J226" s="148" t="inlineStr">
        <is>
          <t>Financial Software*; Other Financial Services</t>
        </is>
      </c>
      <c r="K226" s="149" t="inlineStr">
        <is>
          <t>FinTech</t>
        </is>
      </c>
      <c r="L226" s="150" t="inlineStr">
        <is>
          <t>Venture Capital-Backed</t>
        </is>
      </c>
      <c r="M226" s="151" t="n">
        <v>14.5</v>
      </c>
      <c r="N226" s="152" t="inlineStr">
        <is>
          <t>Generating Revenue</t>
        </is>
      </c>
      <c r="O226" s="153" t="inlineStr">
        <is>
          <t>Privately Held (backing)</t>
        </is>
      </c>
      <c r="P226" s="154" t="inlineStr">
        <is>
          <t>Venture Capital</t>
        </is>
      </c>
      <c r="Q226" s="155" t="inlineStr">
        <is>
          <t>www.compeon.de</t>
        </is>
      </c>
      <c r="R226" s="156" t="n">
        <v>50.0</v>
      </c>
      <c r="S226" s="157" t="inlineStr">
        <is>
          <t/>
        </is>
      </c>
      <c r="T226" s="158" t="inlineStr">
        <is>
          <t/>
        </is>
      </c>
      <c r="U226" s="159" t="n">
        <v>2012.0</v>
      </c>
      <c r="V226" s="160" t="inlineStr">
        <is>
          <t/>
        </is>
      </c>
      <c r="W226" s="161" t="inlineStr">
        <is>
          <t/>
        </is>
      </c>
      <c r="X226" s="162" t="inlineStr">
        <is>
          <t/>
        </is>
      </c>
      <c r="Y226" s="163" t="inlineStr">
        <is>
          <t/>
        </is>
      </c>
      <c r="Z226" s="164" t="inlineStr">
        <is>
          <t/>
        </is>
      </c>
      <c r="AA226" s="165" t="inlineStr">
        <is>
          <t/>
        </is>
      </c>
      <c r="AB226" s="166" t="inlineStr">
        <is>
          <t/>
        </is>
      </c>
      <c r="AC226" s="167" t="inlineStr">
        <is>
          <t/>
        </is>
      </c>
      <c r="AD226" s="168" t="inlineStr">
        <is>
          <t/>
        </is>
      </c>
      <c r="AE226" s="169" t="inlineStr">
        <is>
          <t>81637-84P</t>
        </is>
      </c>
      <c r="AF226" s="170" t="inlineStr">
        <is>
          <t>Kai Boringschulte</t>
        </is>
      </c>
      <c r="AG226" s="171" t="inlineStr">
        <is>
          <t>Co-Founder &amp; Managing Director</t>
        </is>
      </c>
      <c r="AH226" s="172" t="inlineStr">
        <is>
          <t>kboringschulte@compeon.de</t>
        </is>
      </c>
      <c r="AI226" s="173" t="inlineStr">
        <is>
          <t>+49 (0)25 7296 0310</t>
        </is>
      </c>
      <c r="AJ226" s="174" t="inlineStr">
        <is>
          <t>Düsseldorf, Germany</t>
        </is>
      </c>
      <c r="AK226" s="175" t="inlineStr">
        <is>
          <t>Louise-Dumont-Straße 5</t>
        </is>
      </c>
      <c r="AL226" s="176" t="inlineStr">
        <is>
          <t/>
        </is>
      </c>
      <c r="AM226" s="177" t="inlineStr">
        <is>
          <t>Düsseldorf</t>
        </is>
      </c>
      <c r="AN226" s="178" t="inlineStr">
        <is>
          <t/>
        </is>
      </c>
      <c r="AO226" s="179" t="inlineStr">
        <is>
          <t>40211</t>
        </is>
      </c>
      <c r="AP226" s="180" t="inlineStr">
        <is>
          <t>Germany</t>
        </is>
      </c>
      <c r="AQ226" s="181" t="inlineStr">
        <is>
          <t>+49 (0)25 7296 0310</t>
        </is>
      </c>
      <c r="AR226" s="182" t="inlineStr">
        <is>
          <t/>
        </is>
      </c>
      <c r="AS226" s="183" t="inlineStr">
        <is>
          <t>info@compeon.de</t>
        </is>
      </c>
      <c r="AT226" s="184" t="inlineStr">
        <is>
          <t>Europe</t>
        </is>
      </c>
      <c r="AU226" s="185" t="inlineStr">
        <is>
          <t>Western Europe</t>
        </is>
      </c>
      <c r="AV226" s="186" t="inlineStr">
        <is>
          <t>The company raised EUR 12 million of Series B venture funding in a deal led by Tengelmann Ventures on October 12, 2017. The company intends to use the funds to strengthen their team, expand their technology and invest in marketing.</t>
        </is>
      </c>
      <c r="AW226" s="187" t="inlineStr">
        <is>
          <t>Blue Fund Consulting &amp; Invest, btov Partners, Dieter von Holtzbrinck Ventures, Michael Grabner Media, Tengelmann Ventures</t>
        </is>
      </c>
      <c r="AX226" s="188" t="n">
        <v>5.0</v>
      </c>
      <c r="AY226" s="189" t="inlineStr">
        <is>
          <t/>
        </is>
      </c>
      <c r="AZ226" s="190" t="inlineStr">
        <is>
          <t/>
        </is>
      </c>
      <c r="BA226" s="191" t="inlineStr">
        <is>
          <t/>
        </is>
      </c>
      <c r="BB226" s="192" t="inlineStr">
        <is>
          <t>Blue Fund Consulting &amp; Invest (www.blue-fund.com), btov Partners (www.btov.vc), Dieter von Holtzbrinck Ventures (www.dvhventures.de), Michael Grabner Media (www.michaelgrabner.com), Tengelmann Ventures (www.tev.de)</t>
        </is>
      </c>
      <c r="BC226" s="193" t="inlineStr">
        <is>
          <t/>
        </is>
      </c>
      <c r="BD226" s="194" t="inlineStr">
        <is>
          <t/>
        </is>
      </c>
      <c r="BE226" s="195" t="inlineStr">
        <is>
          <t/>
        </is>
      </c>
      <c r="BF226" s="196" t="inlineStr">
        <is>
          <t/>
        </is>
      </c>
      <c r="BG226" s="197" t="n">
        <v>41822.0</v>
      </c>
      <c r="BH226" s="198" t="inlineStr">
        <is>
          <t/>
        </is>
      </c>
      <c r="BI226" s="199" t="inlineStr">
        <is>
          <t/>
        </is>
      </c>
      <c r="BJ226" s="200" t="inlineStr">
        <is>
          <t/>
        </is>
      </c>
      <c r="BK226" s="201" t="inlineStr">
        <is>
          <t/>
        </is>
      </c>
      <c r="BL226" s="202" t="inlineStr">
        <is>
          <t>Early Stage VC</t>
        </is>
      </c>
      <c r="BM226" s="203" t="inlineStr">
        <is>
          <t/>
        </is>
      </c>
      <c r="BN226" s="204" t="inlineStr">
        <is>
          <t/>
        </is>
      </c>
      <c r="BO226" s="205" t="inlineStr">
        <is>
          <t>Venture Capital</t>
        </is>
      </c>
      <c r="BP226" s="206" t="inlineStr">
        <is>
          <t/>
        </is>
      </c>
      <c r="BQ226" s="207" t="inlineStr">
        <is>
          <t/>
        </is>
      </c>
      <c r="BR226" s="208" t="inlineStr">
        <is>
          <t/>
        </is>
      </c>
      <c r="BS226" s="209" t="inlineStr">
        <is>
          <t>Completed</t>
        </is>
      </c>
      <c r="BT226" s="210" t="n">
        <v>43020.0</v>
      </c>
      <c r="BU226" s="211" t="n">
        <v>12.0</v>
      </c>
      <c r="BV226" s="212" t="inlineStr">
        <is>
          <t>Actual</t>
        </is>
      </c>
      <c r="BW226" s="213" t="inlineStr">
        <is>
          <t/>
        </is>
      </c>
      <c r="BX226" s="214" t="inlineStr">
        <is>
          <t/>
        </is>
      </c>
      <c r="BY226" s="215" t="inlineStr">
        <is>
          <t>Early Stage VC</t>
        </is>
      </c>
      <c r="BZ226" s="216" t="inlineStr">
        <is>
          <t>Series B</t>
        </is>
      </c>
      <c r="CA226" s="217" t="inlineStr">
        <is>
          <t/>
        </is>
      </c>
      <c r="CB226" s="218" t="inlineStr">
        <is>
          <t>Venture Capital</t>
        </is>
      </c>
      <c r="CC226" s="219" t="inlineStr">
        <is>
          <t/>
        </is>
      </c>
      <c r="CD226" s="220" t="inlineStr">
        <is>
          <t/>
        </is>
      </c>
      <c r="CE226" s="221" t="inlineStr">
        <is>
          <t/>
        </is>
      </c>
      <c r="CF226" s="222" t="inlineStr">
        <is>
          <t>Completed</t>
        </is>
      </c>
      <c r="CG226" s="223" t="inlineStr">
        <is>
          <t>-0,29%</t>
        </is>
      </c>
      <c r="CH226" s="224" t="inlineStr">
        <is>
          <t>21</t>
        </is>
      </c>
      <c r="CI226" s="225" t="inlineStr">
        <is>
          <t>-0,09%</t>
        </is>
      </c>
      <c r="CJ226" s="226" t="inlineStr">
        <is>
          <t>-44,11%</t>
        </is>
      </c>
      <c r="CK226" s="227" t="inlineStr">
        <is>
          <t>-2,27%</t>
        </is>
      </c>
      <c r="CL226" s="228" t="inlineStr">
        <is>
          <t>14</t>
        </is>
      </c>
      <c r="CM226" s="229" t="inlineStr">
        <is>
          <t>0,33%</t>
        </is>
      </c>
      <c r="CN226" s="230" t="inlineStr">
        <is>
          <t>82</t>
        </is>
      </c>
      <c r="CO226" s="231" t="inlineStr">
        <is>
          <t>-3,80%</t>
        </is>
      </c>
      <c r="CP226" s="232" t="inlineStr">
        <is>
          <t>24</t>
        </is>
      </c>
      <c r="CQ226" s="233" t="inlineStr">
        <is>
          <t>-0,74%</t>
        </is>
      </c>
      <c r="CR226" s="234" t="inlineStr">
        <is>
          <t>13</t>
        </is>
      </c>
      <c r="CS226" s="235" t="inlineStr">
        <is>
          <t>0,28%</t>
        </is>
      </c>
      <c r="CT226" s="236" t="inlineStr">
        <is>
          <t>76</t>
        </is>
      </c>
      <c r="CU226" s="237" t="inlineStr">
        <is>
          <t>0,39%</t>
        </is>
      </c>
      <c r="CV226" s="238" t="inlineStr">
        <is>
          <t>87</t>
        </is>
      </c>
      <c r="CW226" s="239" t="inlineStr">
        <is>
          <t>2,38x</t>
        </is>
      </c>
      <c r="CX226" s="240" t="inlineStr">
        <is>
          <t>68</t>
        </is>
      </c>
      <c r="CY226" s="241" t="inlineStr">
        <is>
          <t>-0,01x</t>
        </is>
      </c>
      <c r="CZ226" s="242" t="inlineStr">
        <is>
          <t>-0,51%</t>
        </is>
      </c>
      <c r="DA226" s="243" t="inlineStr">
        <is>
          <t>5,78x</t>
        </is>
      </c>
      <c r="DB226" s="244" t="inlineStr">
        <is>
          <t>83</t>
        </is>
      </c>
      <c r="DC226" s="245" t="inlineStr">
        <is>
          <t>1,19x</t>
        </is>
      </c>
      <c r="DD226" s="246" t="inlineStr">
        <is>
          <t>52</t>
        </is>
      </c>
      <c r="DE226" s="247" t="inlineStr">
        <is>
          <t>4,30x</t>
        </is>
      </c>
      <c r="DF226" s="248" t="inlineStr">
        <is>
          <t>79</t>
        </is>
      </c>
      <c r="DG226" s="249" t="inlineStr">
        <is>
          <t>7,25x</t>
        </is>
      </c>
      <c r="DH226" s="250" t="inlineStr">
        <is>
          <t>83</t>
        </is>
      </c>
      <c r="DI226" s="251" t="inlineStr">
        <is>
          <t>1,34x</t>
        </is>
      </c>
      <c r="DJ226" s="252" t="inlineStr">
        <is>
          <t>55</t>
        </is>
      </c>
      <c r="DK226" s="253" t="inlineStr">
        <is>
          <t>1,04x</t>
        </is>
      </c>
      <c r="DL226" s="254" t="inlineStr">
        <is>
          <t>51</t>
        </is>
      </c>
      <c r="DM226" s="255" t="inlineStr">
        <is>
          <t>1.651</t>
        </is>
      </c>
      <c r="DN226" s="256" t="inlineStr">
        <is>
          <t>-165</t>
        </is>
      </c>
      <c r="DO226" s="257" t="inlineStr">
        <is>
          <t>-9,09%</t>
        </is>
      </c>
      <c r="DP226" s="258" t="inlineStr">
        <is>
          <t>1.059</t>
        </is>
      </c>
      <c r="DQ226" s="259" t="inlineStr">
        <is>
          <t>1</t>
        </is>
      </c>
      <c r="DR226" s="260" t="inlineStr">
        <is>
          <t>0,09%</t>
        </is>
      </c>
      <c r="DS226" s="261" t="inlineStr">
        <is>
          <t>262</t>
        </is>
      </c>
      <c r="DT226" s="262" t="inlineStr">
        <is>
          <t>-2</t>
        </is>
      </c>
      <c r="DU226" s="263" t="inlineStr">
        <is>
          <t>-0,76%</t>
        </is>
      </c>
      <c r="DV226" s="264" t="inlineStr">
        <is>
          <t>390</t>
        </is>
      </c>
      <c r="DW226" s="265" t="inlineStr">
        <is>
          <t>0</t>
        </is>
      </c>
      <c r="DX226" s="266" t="inlineStr">
        <is>
          <t>0,00%</t>
        </is>
      </c>
      <c r="DY226" s="267" t="inlineStr">
        <is>
          <t>PitchBook Research</t>
        </is>
      </c>
      <c r="DZ226" s="786">
        <f>HYPERLINK("https://my.pitchbook.com?c=98105-68", "View company online")</f>
      </c>
    </row>
    <row r="227">
      <c r="A227" s="9" t="inlineStr">
        <is>
          <t>181749-07</t>
        </is>
      </c>
      <c r="B227" s="10" t="inlineStr">
        <is>
          <t>Meero</t>
        </is>
      </c>
      <c r="C227" s="11" t="inlineStr">
        <is>
          <t/>
        </is>
      </c>
      <c r="D227" s="12" t="inlineStr">
        <is>
          <t/>
        </is>
      </c>
      <c r="E227" s="13" t="inlineStr">
        <is>
          <t>181749-07</t>
        </is>
      </c>
      <c r="F227" s="14" t="inlineStr">
        <is>
          <t>Operator of a photography &amp; video production platform. The company's photography &amp; video production platform manages the projects from start to finish and delivers photo shoots, 360° VR image and videos in less than 24 hours regardless of quantities and locations, enabling customers to avail on demand services who want to increase their sales efficiency in a fast and cost-effective process.</t>
        </is>
      </c>
      <c r="G227" s="15" t="inlineStr">
        <is>
          <t>Information Technology</t>
        </is>
      </c>
      <c r="H227" s="16" t="inlineStr">
        <is>
          <t>Software</t>
        </is>
      </c>
      <c r="I227" s="17" t="inlineStr">
        <is>
          <t>Multimedia and Design Software</t>
        </is>
      </c>
      <c r="J227" s="18" t="inlineStr">
        <is>
          <t>Multimedia and Design Software*; Other Commercial Services</t>
        </is>
      </c>
      <c r="K227" s="19" t="inlineStr">
        <is>
          <t>Robotics and Drones, Virtual Reality</t>
        </is>
      </c>
      <c r="L227" s="20" t="inlineStr">
        <is>
          <t>Venture Capital-Backed</t>
        </is>
      </c>
      <c r="M227" s="21" t="n">
        <v>15.0</v>
      </c>
      <c r="N227" s="22" t="inlineStr">
        <is>
          <t>Generating Revenue</t>
        </is>
      </c>
      <c r="O227" s="23" t="inlineStr">
        <is>
          <t>Privately Held (backing)</t>
        </is>
      </c>
      <c r="P227" s="24" t="inlineStr">
        <is>
          <t>Venture Capital</t>
        </is>
      </c>
      <c r="Q227" s="25" t="inlineStr">
        <is>
          <t>www.meero.fr</t>
        </is>
      </c>
      <c r="R227" s="26" t="n">
        <v>55.0</v>
      </c>
      <c r="S227" s="27" t="inlineStr">
        <is>
          <t/>
        </is>
      </c>
      <c r="T227" s="28" t="inlineStr">
        <is>
          <t/>
        </is>
      </c>
      <c r="U227" s="29" t="n">
        <v>2014.0</v>
      </c>
      <c r="V227" s="30" t="inlineStr">
        <is>
          <t/>
        </is>
      </c>
      <c r="W227" s="31" t="inlineStr">
        <is>
          <t/>
        </is>
      </c>
      <c r="X227" s="32" t="inlineStr">
        <is>
          <t/>
        </is>
      </c>
      <c r="Y227" s="33" t="inlineStr">
        <is>
          <t/>
        </is>
      </c>
      <c r="Z227" s="34" t="inlineStr">
        <is>
          <t/>
        </is>
      </c>
      <c r="AA227" s="35" t="inlineStr">
        <is>
          <t/>
        </is>
      </c>
      <c r="AB227" s="36" t="inlineStr">
        <is>
          <t/>
        </is>
      </c>
      <c r="AC227" s="37" t="inlineStr">
        <is>
          <t/>
        </is>
      </c>
      <c r="AD227" s="38" t="inlineStr">
        <is>
          <t/>
        </is>
      </c>
      <c r="AE227" s="39" t="inlineStr">
        <is>
          <t>164338-57P</t>
        </is>
      </c>
      <c r="AF227" s="40" t="inlineStr">
        <is>
          <t>Antoine Verdet</t>
        </is>
      </c>
      <c r="AG227" s="41" t="inlineStr">
        <is>
          <t>Chief Marketing Officer</t>
        </is>
      </c>
      <c r="AH227" s="42" t="inlineStr">
        <is>
          <t>antoine@meero.fr</t>
        </is>
      </c>
      <c r="AI227" s="43" t="inlineStr">
        <is>
          <t>+33 (0)1 76 31 00 52</t>
        </is>
      </c>
      <c r="AJ227" s="44" t="inlineStr">
        <is>
          <t>Paris, France</t>
        </is>
      </c>
      <c r="AK227" s="45" t="inlineStr">
        <is>
          <t>8 rue du Faubourg</t>
        </is>
      </c>
      <c r="AL227" s="46" t="inlineStr">
        <is>
          <t>Poissonnière</t>
        </is>
      </c>
      <c r="AM227" s="47" t="inlineStr">
        <is>
          <t>Paris</t>
        </is>
      </c>
      <c r="AN227" s="48" t="inlineStr">
        <is>
          <t/>
        </is>
      </c>
      <c r="AO227" s="49" t="inlineStr">
        <is>
          <t>75010</t>
        </is>
      </c>
      <c r="AP227" s="50" t="inlineStr">
        <is>
          <t>France</t>
        </is>
      </c>
      <c r="AQ227" s="51" t="inlineStr">
        <is>
          <t>+33 (0)1 76 31 00 52</t>
        </is>
      </c>
      <c r="AR227" s="52" t="inlineStr">
        <is>
          <t/>
        </is>
      </c>
      <c r="AS227" s="53" t="inlineStr">
        <is>
          <t>contact@meero.fr</t>
        </is>
      </c>
      <c r="AT227" s="54" t="inlineStr">
        <is>
          <t>Europe</t>
        </is>
      </c>
      <c r="AU227" s="55" t="inlineStr">
        <is>
          <t>Western Europe</t>
        </is>
      </c>
      <c r="AV227" s="56" t="inlineStr">
        <is>
          <t>The company raised EUR 15 million Series A venture funding led by Alven Capital on September 8, 2017. Aglaé Ventures, WhiteStar Capital, FJ Labs, Global Founders Capital, Kima Ventures and Rocket Internet also participated in the round. The company intends to use the funds to grow its operations throughout Europe.</t>
        </is>
      </c>
      <c r="AW227" s="57" t="inlineStr">
        <is>
          <t>Aglaé Ventures, Alven Capital Partners, FJ Labs, GFC Rocket Internet, Global Founders Capital, Kima Ventures, Rocket Internet, White Star Capital</t>
        </is>
      </c>
      <c r="AX227" s="58" t="n">
        <v>8.0</v>
      </c>
      <c r="AY227" s="59" t="inlineStr">
        <is>
          <t/>
        </is>
      </c>
      <c r="AZ227" s="60" t="inlineStr">
        <is>
          <t/>
        </is>
      </c>
      <c r="BA227" s="61" t="inlineStr">
        <is>
          <t/>
        </is>
      </c>
      <c r="BB227" s="62" t="inlineStr">
        <is>
          <t>Aglaé Ventures (www.aglaeventures.com), Alven Capital Partners (www.alven.co), FJ Labs (www.fjlabs.com), Global Founders Capital (www.globalfounders.vc), Kima Ventures (www.kimaventures.com), Rocket Internet (www.rocket-internet.com), White Star Capital (www.whitestarvc.com)</t>
        </is>
      </c>
      <c r="BC227" s="63" t="inlineStr">
        <is>
          <t/>
        </is>
      </c>
      <c r="BD227" s="64" t="inlineStr">
        <is>
          <t/>
        </is>
      </c>
      <c r="BE227" s="65" t="inlineStr">
        <is>
          <t/>
        </is>
      </c>
      <c r="BF227" s="66" t="inlineStr">
        <is>
          <t/>
        </is>
      </c>
      <c r="BG227" s="67" t="n">
        <v>42986.0</v>
      </c>
      <c r="BH227" s="68" t="n">
        <v>15.0</v>
      </c>
      <c r="BI227" s="69" t="inlineStr">
        <is>
          <t>Actual</t>
        </is>
      </c>
      <c r="BJ227" s="70" t="inlineStr">
        <is>
          <t/>
        </is>
      </c>
      <c r="BK227" s="71" t="inlineStr">
        <is>
          <t/>
        </is>
      </c>
      <c r="BL227" s="72" t="inlineStr">
        <is>
          <t>Early Stage VC</t>
        </is>
      </c>
      <c r="BM227" s="73" t="inlineStr">
        <is>
          <t>Series A</t>
        </is>
      </c>
      <c r="BN227" s="74" t="inlineStr">
        <is>
          <t/>
        </is>
      </c>
      <c r="BO227" s="75" t="inlineStr">
        <is>
          <t>Venture Capital</t>
        </is>
      </c>
      <c r="BP227" s="76" t="inlineStr">
        <is>
          <t/>
        </is>
      </c>
      <c r="BQ227" s="77" t="inlineStr">
        <is>
          <t/>
        </is>
      </c>
      <c r="BR227" s="78" t="inlineStr">
        <is>
          <t/>
        </is>
      </c>
      <c r="BS227" s="79" t="inlineStr">
        <is>
          <t>Completed</t>
        </is>
      </c>
      <c r="BT227" s="80" t="n">
        <v>42986.0</v>
      </c>
      <c r="BU227" s="81" t="n">
        <v>15.0</v>
      </c>
      <c r="BV227" s="82" t="inlineStr">
        <is>
          <t>Actual</t>
        </is>
      </c>
      <c r="BW227" s="83" t="inlineStr">
        <is>
          <t/>
        </is>
      </c>
      <c r="BX227" s="84" t="inlineStr">
        <is>
          <t/>
        </is>
      </c>
      <c r="BY227" s="85" t="inlineStr">
        <is>
          <t>Early Stage VC</t>
        </is>
      </c>
      <c r="BZ227" s="86" t="inlineStr">
        <is>
          <t>Series A</t>
        </is>
      </c>
      <c r="CA227" s="87" t="inlineStr">
        <is>
          <t/>
        </is>
      </c>
      <c r="CB227" s="88" t="inlineStr">
        <is>
          <t>Venture Capital</t>
        </is>
      </c>
      <c r="CC227" s="89" t="inlineStr">
        <is>
          <t/>
        </is>
      </c>
      <c r="CD227" s="90" t="inlineStr">
        <is>
          <t/>
        </is>
      </c>
      <c r="CE227" s="91" t="inlineStr">
        <is>
          <t/>
        </is>
      </c>
      <c r="CF227" s="92" t="inlineStr">
        <is>
          <t>Completed</t>
        </is>
      </c>
      <c r="CG227" s="93" t="inlineStr">
        <is>
          <t>-6,04%</t>
        </is>
      </c>
      <c r="CH227" s="94" t="inlineStr">
        <is>
          <t>3</t>
        </is>
      </c>
      <c r="CI227" s="95" t="inlineStr">
        <is>
          <t>-0,15%</t>
        </is>
      </c>
      <c r="CJ227" s="96" t="inlineStr">
        <is>
          <t>-2,54%</t>
        </is>
      </c>
      <c r="CK227" s="97" t="inlineStr">
        <is>
          <t>-12,77%</t>
        </is>
      </c>
      <c r="CL227" s="98" t="inlineStr">
        <is>
          <t>2</t>
        </is>
      </c>
      <c r="CM227" s="99" t="inlineStr">
        <is>
          <t>0,69%</t>
        </is>
      </c>
      <c r="CN227" s="100" t="inlineStr">
        <is>
          <t>93</t>
        </is>
      </c>
      <c r="CO227" s="101" t="inlineStr">
        <is>
          <t>-24,42%</t>
        </is>
      </c>
      <c r="CP227" s="102" t="inlineStr">
        <is>
          <t>3</t>
        </is>
      </c>
      <c r="CQ227" s="103" t="inlineStr">
        <is>
          <t>-1,12%</t>
        </is>
      </c>
      <c r="CR227" s="104" t="inlineStr">
        <is>
          <t>8</t>
        </is>
      </c>
      <c r="CS227" s="105" t="inlineStr">
        <is>
          <t/>
        </is>
      </c>
      <c r="CT227" s="106" t="inlineStr">
        <is>
          <t/>
        </is>
      </c>
      <c r="CU227" s="107" t="inlineStr">
        <is>
          <t>0,69%</t>
        </is>
      </c>
      <c r="CV227" s="108" t="inlineStr">
        <is>
          <t>94</t>
        </is>
      </c>
      <c r="CW227" s="109" t="inlineStr">
        <is>
          <t>2,15x</t>
        </is>
      </c>
      <c r="CX227" s="110" t="inlineStr">
        <is>
          <t>66</t>
        </is>
      </c>
      <c r="CY227" s="111" t="inlineStr">
        <is>
          <t>0,00x</t>
        </is>
      </c>
      <c r="CZ227" s="112" t="inlineStr">
        <is>
          <t>0,02%</t>
        </is>
      </c>
      <c r="DA227" s="113" t="inlineStr">
        <is>
          <t>2,33x</t>
        </is>
      </c>
      <c r="DB227" s="114" t="inlineStr">
        <is>
          <t>70</t>
        </is>
      </c>
      <c r="DC227" s="115" t="inlineStr">
        <is>
          <t>1,97x</t>
        </is>
      </c>
      <c r="DD227" s="116" t="inlineStr">
        <is>
          <t>61</t>
        </is>
      </c>
      <c r="DE227" s="117" t="inlineStr">
        <is>
          <t>0,24x</t>
        </is>
      </c>
      <c r="DF227" s="118" t="inlineStr">
        <is>
          <t>17</t>
        </is>
      </c>
      <c r="DG227" s="119" t="inlineStr">
        <is>
          <t>4,42x</t>
        </is>
      </c>
      <c r="DH227" s="120" t="inlineStr">
        <is>
          <t>77</t>
        </is>
      </c>
      <c r="DI227" s="121" t="inlineStr">
        <is>
          <t/>
        </is>
      </c>
      <c r="DJ227" s="122" t="inlineStr">
        <is>
          <t/>
        </is>
      </c>
      <c r="DK227" s="123" t="inlineStr">
        <is>
          <t>1,97x</t>
        </is>
      </c>
      <c r="DL227" s="124" t="inlineStr">
        <is>
          <t>63</t>
        </is>
      </c>
      <c r="DM227" s="125" t="inlineStr">
        <is>
          <t>1.397</t>
        </is>
      </c>
      <c r="DN227" s="126" t="inlineStr">
        <is>
          <t>-3.053</t>
        </is>
      </c>
      <c r="DO227" s="127" t="inlineStr">
        <is>
          <t>-68,61%</t>
        </is>
      </c>
      <c r="DP227" s="128" t="inlineStr">
        <is>
          <t/>
        </is>
      </c>
      <c r="DQ227" s="129" t="inlineStr">
        <is>
          <t/>
        </is>
      </c>
      <c r="DR227" s="130" t="inlineStr">
        <is>
          <t/>
        </is>
      </c>
      <c r="DS227" s="131" t="inlineStr">
        <is>
          <t>158</t>
        </is>
      </c>
      <c r="DT227" s="132" t="inlineStr">
        <is>
          <t>-1</t>
        </is>
      </c>
      <c r="DU227" s="133" t="inlineStr">
        <is>
          <t>-0,63%</t>
        </is>
      </c>
      <c r="DV227" s="134" t="inlineStr">
        <is>
          <t>734</t>
        </is>
      </c>
      <c r="DW227" s="135" t="inlineStr">
        <is>
          <t>1</t>
        </is>
      </c>
      <c r="DX227" s="136" t="inlineStr">
        <is>
          <t>0,14%</t>
        </is>
      </c>
      <c r="DY227" s="137" t="inlineStr">
        <is>
          <t>PitchBook Research</t>
        </is>
      </c>
      <c r="DZ227" s="785">
        <f>HYPERLINK("https://my.pitchbook.com?c=181749-07", "View company online")</f>
      </c>
    </row>
    <row r="228">
      <c r="A228" s="139" t="inlineStr">
        <is>
          <t>58224-34</t>
        </is>
      </c>
      <c r="B228" s="140" t="inlineStr">
        <is>
          <t>Jobbio</t>
        </is>
      </c>
      <c r="C228" s="141" t="inlineStr">
        <is>
          <t/>
        </is>
      </c>
      <c r="D228" s="142" t="inlineStr">
        <is>
          <t/>
        </is>
      </c>
      <c r="E228" s="143" t="inlineStr">
        <is>
          <t>58224-34</t>
        </is>
      </c>
      <c r="F228" s="144" t="inlineStr">
        <is>
          <t>Provider of an online recruitment platform. The company provides a platform that enables job seekers to upload information to get in touch with employers while conversely allowing employers to search for talent.</t>
        </is>
      </c>
      <c r="G228" s="145" t="inlineStr">
        <is>
          <t>Business Products and Services (B2B)</t>
        </is>
      </c>
      <c r="H228" s="146" t="inlineStr">
        <is>
          <t>Commercial Services</t>
        </is>
      </c>
      <c r="I228" s="147" t="inlineStr">
        <is>
          <t>Human Capital Services</t>
        </is>
      </c>
      <c r="J228" s="148" t="inlineStr">
        <is>
          <t>Human Capital Services*; Application Software</t>
        </is>
      </c>
      <c r="K228" s="149" t="inlineStr">
        <is>
          <t>SaaS</t>
        </is>
      </c>
      <c r="L228" s="150" t="inlineStr">
        <is>
          <t>Venture Capital-Backed</t>
        </is>
      </c>
      <c r="M228" s="151" t="n">
        <v>15.71</v>
      </c>
      <c r="N228" s="152" t="inlineStr">
        <is>
          <t>Generating Revenue</t>
        </is>
      </c>
      <c r="O228" s="153" t="inlineStr">
        <is>
          <t>Privately Held (backing)</t>
        </is>
      </c>
      <c r="P228" s="154" t="inlineStr">
        <is>
          <t>Venture Capital</t>
        </is>
      </c>
      <c r="Q228" s="155" t="inlineStr">
        <is>
          <t>www.jobbio.com</t>
        </is>
      </c>
      <c r="R228" s="156" t="n">
        <v>19.0</v>
      </c>
      <c r="S228" s="157" t="inlineStr">
        <is>
          <t/>
        </is>
      </c>
      <c r="T228" s="158" t="inlineStr">
        <is>
          <t/>
        </is>
      </c>
      <c r="U228" s="159" t="n">
        <v>2012.0</v>
      </c>
      <c r="V228" s="160" t="inlineStr">
        <is>
          <t/>
        </is>
      </c>
      <c r="W228" s="161" t="inlineStr">
        <is>
          <t/>
        </is>
      </c>
      <c r="X228" s="162" t="inlineStr">
        <is>
          <t/>
        </is>
      </c>
      <c r="Y228" s="163" t="inlineStr">
        <is>
          <t/>
        </is>
      </c>
      <c r="Z228" s="164" t="inlineStr">
        <is>
          <t/>
        </is>
      </c>
      <c r="AA228" s="165" t="inlineStr">
        <is>
          <t/>
        </is>
      </c>
      <c r="AB228" s="166" t="inlineStr">
        <is>
          <t/>
        </is>
      </c>
      <c r="AC228" s="167" t="inlineStr">
        <is>
          <t/>
        </is>
      </c>
      <c r="AD228" s="168" t="inlineStr">
        <is>
          <t/>
        </is>
      </c>
      <c r="AE228" s="169" t="inlineStr">
        <is>
          <t>56633-14P</t>
        </is>
      </c>
      <c r="AF228" s="170" t="inlineStr">
        <is>
          <t>Stephen Quinn</t>
        </is>
      </c>
      <c r="AG228" s="171" t="inlineStr">
        <is>
          <t>Co-Founder &amp; Chief Executive Officer</t>
        </is>
      </c>
      <c r="AH228" s="172" t="inlineStr">
        <is>
          <t>stephen@onjobbio.com</t>
        </is>
      </c>
      <c r="AI228" s="173" t="inlineStr">
        <is>
          <t>+353 (0)1 440 4900</t>
        </is>
      </c>
      <c r="AJ228" s="174" t="inlineStr">
        <is>
          <t>Dublin, Ireland</t>
        </is>
      </c>
      <c r="AK228" s="175" t="inlineStr">
        <is>
          <t>46 Upper Mount Street</t>
        </is>
      </c>
      <c r="AL228" s="176" t="inlineStr">
        <is>
          <t/>
        </is>
      </c>
      <c r="AM228" s="177" t="inlineStr">
        <is>
          <t>Dublin</t>
        </is>
      </c>
      <c r="AN228" s="178" t="inlineStr">
        <is>
          <t/>
        </is>
      </c>
      <c r="AO228" s="179" t="inlineStr">
        <is>
          <t>2</t>
        </is>
      </c>
      <c r="AP228" s="180" t="inlineStr">
        <is>
          <t>Ireland</t>
        </is>
      </c>
      <c r="AQ228" s="181" t="inlineStr">
        <is>
          <t>+353 (0)1 440 4900</t>
        </is>
      </c>
      <c r="AR228" s="182" t="inlineStr">
        <is>
          <t/>
        </is>
      </c>
      <c r="AS228" s="183" t="inlineStr">
        <is>
          <t>hello@jobbio.com</t>
        </is>
      </c>
      <c r="AT228" s="184" t="inlineStr">
        <is>
          <t>Europe</t>
        </is>
      </c>
      <c r="AU228" s="185" t="inlineStr">
        <is>
          <t>Western Europe</t>
        </is>
      </c>
      <c r="AV228" s="186" t="inlineStr">
        <is>
          <t>The company raised $15 million of Series A venture funding in a deal led by NJF Capital on September 28, 2017. AIBSCF, Irish Venture Capital Association, Enterprise Ireland, International Investment and Underwriting, Enterprise Equity Venture Capital, Montilla International, Dublin Business Innovation Centre, Barry Maloney, Smurfit Family Investments and Michael Chadwick also participated in the round. The funds will be used to double its workforce in the next 12 months across the UK and U.S. divisions while also expanding into Canada.</t>
        </is>
      </c>
      <c r="AW228" s="187" t="inlineStr">
        <is>
          <t>AIBSCF, Barry Maloney, Dublin Business Innovation Centre, Enterprise Equity Venture Capital, Enterprise Ireland, International Investment and Underwriting, Irish Venture Capital Association, Michael Chadwick, Montilla International, MXC Capital, NJF Capital</t>
        </is>
      </c>
      <c r="AX228" s="188" t="n">
        <v>11.0</v>
      </c>
      <c r="AY228" s="189" t="inlineStr">
        <is>
          <t/>
        </is>
      </c>
      <c r="AZ228" s="190" t="inlineStr">
        <is>
          <t/>
        </is>
      </c>
      <c r="BA228" s="191" t="inlineStr">
        <is>
          <t/>
        </is>
      </c>
      <c r="BB228" s="192" t="inlineStr">
        <is>
          <t>Dublin Business Innovation Centre (dublinbic.ie), Enterprise Equity Venture Capital (www.enterpriseequity.ie), Enterprise Ireland (www.enterprise-ireland.com), International Investment and Underwriting (www.iiu.ie), Irish Venture Capital Association (www.ivca.ie), MXC Capital (www.mxccapital.com), NJF Capital (www.njfcapital.com)</t>
        </is>
      </c>
      <c r="BC228" s="193" t="inlineStr">
        <is>
          <t/>
        </is>
      </c>
      <c r="BD228" s="194" t="inlineStr">
        <is>
          <t/>
        </is>
      </c>
      <c r="BE228" s="195" t="inlineStr">
        <is>
          <t>Maples &amp; Calder (Legal Advisor)</t>
        </is>
      </c>
      <c r="BF228" s="196" t="inlineStr">
        <is>
          <t>Maples &amp; Calder (Legal Advisor), Beauchamps Solicitors (Legal Advisor), Mason Hayes &amp; Curran (Legal Advisor)</t>
        </is>
      </c>
      <c r="BG228" s="197" t="n">
        <v>41551.0</v>
      </c>
      <c r="BH228" s="198" t="n">
        <v>0.45</v>
      </c>
      <c r="BI228" s="199" t="inlineStr">
        <is>
          <t>Actual</t>
        </is>
      </c>
      <c r="BJ228" s="200" t="inlineStr">
        <is>
          <t/>
        </is>
      </c>
      <c r="BK228" s="201" t="inlineStr">
        <is>
          <t/>
        </is>
      </c>
      <c r="BL228" s="202" t="inlineStr">
        <is>
          <t>Seed Round</t>
        </is>
      </c>
      <c r="BM228" s="203" t="inlineStr">
        <is>
          <t>Seed</t>
        </is>
      </c>
      <c r="BN228" s="204" t="inlineStr">
        <is>
          <t/>
        </is>
      </c>
      <c r="BO228" s="205" t="inlineStr">
        <is>
          <t>Venture Capital</t>
        </is>
      </c>
      <c r="BP228" s="206" t="inlineStr">
        <is>
          <t/>
        </is>
      </c>
      <c r="BQ228" s="207" t="inlineStr">
        <is>
          <t/>
        </is>
      </c>
      <c r="BR228" s="208" t="inlineStr">
        <is>
          <t/>
        </is>
      </c>
      <c r="BS228" s="209" t="inlineStr">
        <is>
          <t>Completed</t>
        </is>
      </c>
      <c r="BT228" s="210" t="n">
        <v>43006.0</v>
      </c>
      <c r="BU228" s="211" t="n">
        <v>12.58</v>
      </c>
      <c r="BV228" s="212" t="inlineStr">
        <is>
          <t>Actual</t>
        </is>
      </c>
      <c r="BW228" s="213" t="inlineStr">
        <is>
          <t/>
        </is>
      </c>
      <c r="BX228" s="214" t="inlineStr">
        <is>
          <t/>
        </is>
      </c>
      <c r="BY228" s="215" t="inlineStr">
        <is>
          <t>Early Stage VC</t>
        </is>
      </c>
      <c r="BZ228" s="216" t="inlineStr">
        <is>
          <t>Series A</t>
        </is>
      </c>
      <c r="CA228" s="217" t="inlineStr">
        <is>
          <t/>
        </is>
      </c>
      <c r="CB228" s="218" t="inlineStr">
        <is>
          <t>Venture Capital</t>
        </is>
      </c>
      <c r="CC228" s="219" t="inlineStr">
        <is>
          <t/>
        </is>
      </c>
      <c r="CD228" s="220" t="inlineStr">
        <is>
          <t/>
        </is>
      </c>
      <c r="CE228" s="221" t="inlineStr">
        <is>
          <t/>
        </is>
      </c>
      <c r="CF228" s="222" t="inlineStr">
        <is>
          <t>Completed</t>
        </is>
      </c>
      <c r="CG228" s="223" t="inlineStr">
        <is>
          <t>-6,04%</t>
        </is>
      </c>
      <c r="CH228" s="224" t="inlineStr">
        <is>
          <t>3</t>
        </is>
      </c>
      <c r="CI228" s="225" t="inlineStr">
        <is>
          <t>-0,03%</t>
        </is>
      </c>
      <c r="CJ228" s="226" t="inlineStr">
        <is>
          <t>-0,54%</t>
        </is>
      </c>
      <c r="CK228" s="227" t="inlineStr">
        <is>
          <t>-12,30%</t>
        </is>
      </c>
      <c r="CL228" s="228" t="inlineStr">
        <is>
          <t>2</t>
        </is>
      </c>
      <c r="CM228" s="229" t="inlineStr">
        <is>
          <t>0,23%</t>
        </is>
      </c>
      <c r="CN228" s="230" t="inlineStr">
        <is>
          <t>74</t>
        </is>
      </c>
      <c r="CO228" s="231" t="inlineStr">
        <is>
          <t>-24,60%</t>
        </is>
      </c>
      <c r="CP228" s="232" t="inlineStr">
        <is>
          <t>3</t>
        </is>
      </c>
      <c r="CQ228" s="233" t="inlineStr">
        <is>
          <t>0,00%</t>
        </is>
      </c>
      <c r="CR228" s="234" t="inlineStr">
        <is>
          <t>20</t>
        </is>
      </c>
      <c r="CS228" s="235" t="inlineStr">
        <is>
          <t>0,24%</t>
        </is>
      </c>
      <c r="CT228" s="236" t="inlineStr">
        <is>
          <t>73</t>
        </is>
      </c>
      <c r="CU228" s="237" t="inlineStr">
        <is>
          <t>0,21%</t>
        </is>
      </c>
      <c r="CV228" s="238" t="inlineStr">
        <is>
          <t>77</t>
        </is>
      </c>
      <c r="CW228" s="239" t="inlineStr">
        <is>
          <t>15,71x</t>
        </is>
      </c>
      <c r="CX228" s="240" t="inlineStr">
        <is>
          <t>91</t>
        </is>
      </c>
      <c r="CY228" s="241" t="inlineStr">
        <is>
          <t>-0,08x</t>
        </is>
      </c>
      <c r="CZ228" s="242" t="inlineStr">
        <is>
          <t>-0,49%</t>
        </is>
      </c>
      <c r="DA228" s="243" t="inlineStr">
        <is>
          <t>9,75x</t>
        </is>
      </c>
      <c r="DB228" s="244" t="inlineStr">
        <is>
          <t>89</t>
        </is>
      </c>
      <c r="DC228" s="245" t="inlineStr">
        <is>
          <t>21,67x</t>
        </is>
      </c>
      <c r="DD228" s="246" t="inlineStr">
        <is>
          <t>90</t>
        </is>
      </c>
      <c r="DE228" s="247" t="inlineStr">
        <is>
          <t>16,99x</t>
        </is>
      </c>
      <c r="DF228" s="248" t="inlineStr">
        <is>
          <t>92</t>
        </is>
      </c>
      <c r="DG228" s="249" t="inlineStr">
        <is>
          <t>2,50x</t>
        </is>
      </c>
      <c r="DH228" s="250" t="inlineStr">
        <is>
          <t>69</t>
        </is>
      </c>
      <c r="DI228" s="251" t="inlineStr">
        <is>
          <t>20,02x</t>
        </is>
      </c>
      <c r="DJ228" s="252" t="inlineStr">
        <is>
          <t>87</t>
        </is>
      </c>
      <c r="DK228" s="253" t="inlineStr">
        <is>
          <t>23,32x</t>
        </is>
      </c>
      <c r="DL228" s="254" t="inlineStr">
        <is>
          <t>93</t>
        </is>
      </c>
      <c r="DM228" s="255" t="inlineStr">
        <is>
          <t>6.348</t>
        </is>
      </c>
      <c r="DN228" s="256" t="inlineStr">
        <is>
          <t>-216</t>
        </is>
      </c>
      <c r="DO228" s="257" t="inlineStr">
        <is>
          <t>-3,29%</t>
        </is>
      </c>
      <c r="DP228" s="258" t="inlineStr">
        <is>
          <t>15.851</t>
        </is>
      </c>
      <c r="DQ228" s="259" t="inlineStr">
        <is>
          <t>44</t>
        </is>
      </c>
      <c r="DR228" s="260" t="inlineStr">
        <is>
          <t>0,28%</t>
        </is>
      </c>
      <c r="DS228" s="261" t="inlineStr">
        <is>
          <t>90</t>
        </is>
      </c>
      <c r="DT228" s="262" t="inlineStr">
        <is>
          <t>0</t>
        </is>
      </c>
      <c r="DU228" s="263" t="inlineStr">
        <is>
          <t>0,00%</t>
        </is>
      </c>
      <c r="DV228" s="264" t="inlineStr">
        <is>
          <t>8.716</t>
        </is>
      </c>
      <c r="DW228" s="265" t="inlineStr">
        <is>
          <t>18</t>
        </is>
      </c>
      <c r="DX228" s="266" t="inlineStr">
        <is>
          <t>0,21%</t>
        </is>
      </c>
      <c r="DY228" s="267" t="inlineStr">
        <is>
          <t>PitchBook Research</t>
        </is>
      </c>
      <c r="DZ228" s="786">
        <f>HYPERLINK("https://my.pitchbook.com?c=58224-34", "View company online")</f>
      </c>
    </row>
    <row r="229">
      <c r="A229" s="9" t="inlineStr">
        <is>
          <t>222271-93</t>
        </is>
      </c>
      <c r="B229" s="10" t="inlineStr">
        <is>
          <t>Less App</t>
        </is>
      </c>
      <c r="C229" s="11" t="inlineStr">
        <is>
          <t/>
        </is>
      </c>
      <c r="D229" s="12" t="inlineStr">
        <is>
          <t/>
        </is>
      </c>
      <c r="E229" s="13" t="inlineStr">
        <is>
          <t>222271-93</t>
        </is>
      </c>
      <c r="F229" s="14" t="inlineStr">
        <is>
          <t>Developer of a ride-sharing application created to match drivers with potential in-route riders. The company's carpooling mobile app connects non-professional drivers with commuters looking for a short distance ride within the drivers already setup route, enabling drivers to make additional earnings while helping commuters get to their destination.</t>
        </is>
      </c>
      <c r="G229" s="15" t="inlineStr">
        <is>
          <t>Information Technology</t>
        </is>
      </c>
      <c r="H229" s="16" t="inlineStr">
        <is>
          <t>Software</t>
        </is>
      </c>
      <c r="I229" s="17" t="inlineStr">
        <is>
          <t>Social/Platform Software</t>
        </is>
      </c>
      <c r="J229" s="18" t="inlineStr">
        <is>
          <t>Social/Platform Software*; Automotive</t>
        </is>
      </c>
      <c r="K229" s="19" t="inlineStr">
        <is>
          <t>Mobile</t>
        </is>
      </c>
      <c r="L229" s="20" t="inlineStr">
        <is>
          <t>Venture Capital-Backed</t>
        </is>
      </c>
      <c r="M229" s="21" t="n">
        <v>16.16</v>
      </c>
      <c r="N229" s="22" t="inlineStr">
        <is>
          <t>Startup</t>
        </is>
      </c>
      <c r="O229" s="23" t="inlineStr">
        <is>
          <t>Privately Held (backing)</t>
        </is>
      </c>
      <c r="P229" s="24" t="inlineStr">
        <is>
          <t>Venture Capital</t>
        </is>
      </c>
      <c r="Q229" s="25" t="inlineStr">
        <is>
          <t>www.less.com</t>
        </is>
      </c>
      <c r="R229" s="26" t="inlineStr">
        <is>
          <t/>
        </is>
      </c>
      <c r="S229" s="27" t="inlineStr">
        <is>
          <t/>
        </is>
      </c>
      <c r="T229" s="28" t="inlineStr">
        <is>
          <t/>
        </is>
      </c>
      <c r="U229" s="29" t="n">
        <v>2017.0</v>
      </c>
      <c r="V229" s="30" t="inlineStr">
        <is>
          <t/>
        </is>
      </c>
      <c r="W229" s="31" t="inlineStr">
        <is>
          <t/>
        </is>
      </c>
      <c r="X229" s="32" t="inlineStr">
        <is>
          <t/>
        </is>
      </c>
      <c r="Y229" s="33" t="inlineStr">
        <is>
          <t/>
        </is>
      </c>
      <c r="Z229" s="34" t="inlineStr">
        <is>
          <t/>
        </is>
      </c>
      <c r="AA229" s="35" t="inlineStr">
        <is>
          <t/>
        </is>
      </c>
      <c r="AB229" s="36" t="inlineStr">
        <is>
          <t/>
        </is>
      </c>
      <c r="AC229" s="37" t="inlineStr">
        <is>
          <t/>
        </is>
      </c>
      <c r="AD229" s="38" t="inlineStr">
        <is>
          <t/>
        </is>
      </c>
      <c r="AE229" s="39" t="inlineStr">
        <is>
          <t>39117-25P</t>
        </is>
      </c>
      <c r="AF229" s="40" t="inlineStr">
        <is>
          <t>Jean-Baptiste Rudelle</t>
        </is>
      </c>
      <c r="AG229" s="41" t="inlineStr">
        <is>
          <t>Co-Founder</t>
        </is>
      </c>
      <c r="AH229" s="42" t="inlineStr">
        <is>
          <t>jb.rudelle@criteo.com</t>
        </is>
      </c>
      <c r="AI229" s="43" t="inlineStr">
        <is>
          <t>+1 (650) 322-6260</t>
        </is>
      </c>
      <c r="AJ229" s="44" t="inlineStr">
        <is>
          <t>Paris, France</t>
        </is>
      </c>
      <c r="AK229" s="45" t="inlineStr">
        <is>
          <t>75 Avenue Parmentier</t>
        </is>
      </c>
      <c r="AL229" s="46" t="inlineStr">
        <is>
          <t/>
        </is>
      </c>
      <c r="AM229" s="47" t="inlineStr">
        <is>
          <t>Paris</t>
        </is>
      </c>
      <c r="AN229" s="48" t="inlineStr">
        <is>
          <t/>
        </is>
      </c>
      <c r="AO229" s="49" t="inlineStr">
        <is>
          <t>75011</t>
        </is>
      </c>
      <c r="AP229" s="50" t="inlineStr">
        <is>
          <t>France</t>
        </is>
      </c>
      <c r="AQ229" s="51" t="inlineStr">
        <is>
          <t>+33 (0)9 74 59 53 77</t>
        </is>
      </c>
      <c r="AR229" s="52" t="inlineStr">
        <is>
          <t/>
        </is>
      </c>
      <c r="AS229" s="53" t="inlineStr">
        <is>
          <t>contact@less.com</t>
        </is>
      </c>
      <c r="AT229" s="54" t="inlineStr">
        <is>
          <t>Europe</t>
        </is>
      </c>
      <c r="AU229" s="55" t="inlineStr">
        <is>
          <t>Western Europe</t>
        </is>
      </c>
      <c r="AV229" s="56" t="inlineStr">
        <is>
          <t>The company raised $19 million of venture funding from Index Ventures and Daphni in November 15, 2017. Jean-Baptiste Rudelle also participated in the transaction. The company intends to use the funds to expand its operations and continue to develop the app.</t>
        </is>
      </c>
      <c r="AW229" s="57" t="inlineStr">
        <is>
          <t>Daphni, Index Ventures (UK)</t>
        </is>
      </c>
      <c r="AX229" s="58" t="n">
        <v>2.0</v>
      </c>
      <c r="AY229" s="59" t="inlineStr">
        <is>
          <t/>
        </is>
      </c>
      <c r="AZ229" s="60" t="inlineStr">
        <is>
          <t/>
        </is>
      </c>
      <c r="BA229" s="61" t="inlineStr">
        <is>
          <t/>
        </is>
      </c>
      <c r="BB229" s="62" t="inlineStr">
        <is>
          <t>Daphni (www.daphni.com), Index Ventures (UK) (www.indexventures.com)</t>
        </is>
      </c>
      <c r="BC229" s="63" t="inlineStr">
        <is>
          <t/>
        </is>
      </c>
      <c r="BD229" s="64" t="inlineStr">
        <is>
          <t/>
        </is>
      </c>
      <c r="BE229" s="65" t="inlineStr">
        <is>
          <t/>
        </is>
      </c>
      <c r="BF229" s="66" t="inlineStr">
        <is>
          <t>Jones Day (Legal Advisor)</t>
        </is>
      </c>
      <c r="BG229" s="67" t="n">
        <v>43054.0</v>
      </c>
      <c r="BH229" s="68" t="n">
        <v>16.16</v>
      </c>
      <c r="BI229" s="69" t="inlineStr">
        <is>
          <t>Actual</t>
        </is>
      </c>
      <c r="BJ229" s="70" t="inlineStr">
        <is>
          <t/>
        </is>
      </c>
      <c r="BK229" s="71" t="inlineStr">
        <is>
          <t/>
        </is>
      </c>
      <c r="BL229" s="72" t="inlineStr">
        <is>
          <t>Early Stage VC</t>
        </is>
      </c>
      <c r="BM229" s="73" t="inlineStr">
        <is>
          <t/>
        </is>
      </c>
      <c r="BN229" s="74" t="inlineStr">
        <is>
          <t/>
        </is>
      </c>
      <c r="BO229" s="75" t="inlineStr">
        <is>
          <t>Venture Capital</t>
        </is>
      </c>
      <c r="BP229" s="76" t="inlineStr">
        <is>
          <t/>
        </is>
      </c>
      <c r="BQ229" s="77" t="inlineStr">
        <is>
          <t/>
        </is>
      </c>
      <c r="BR229" s="78" t="inlineStr">
        <is>
          <t/>
        </is>
      </c>
      <c r="BS229" s="79" t="inlineStr">
        <is>
          <t>Completed</t>
        </is>
      </c>
      <c r="BT229" s="80" t="n">
        <v>43054.0</v>
      </c>
      <c r="BU229" s="81" t="n">
        <v>16.16</v>
      </c>
      <c r="BV229" s="82" t="inlineStr">
        <is>
          <t>Actual</t>
        </is>
      </c>
      <c r="BW229" s="83" t="inlineStr">
        <is>
          <t/>
        </is>
      </c>
      <c r="BX229" s="84" t="inlineStr">
        <is>
          <t/>
        </is>
      </c>
      <c r="BY229" s="85" t="inlineStr">
        <is>
          <t>Early Stage VC</t>
        </is>
      </c>
      <c r="BZ229" s="86" t="inlineStr">
        <is>
          <t/>
        </is>
      </c>
      <c r="CA229" s="87" t="inlineStr">
        <is>
          <t/>
        </is>
      </c>
      <c r="CB229" s="88" t="inlineStr">
        <is>
          <t>Venture Capital</t>
        </is>
      </c>
      <c r="CC229" s="89" t="inlineStr">
        <is>
          <t/>
        </is>
      </c>
      <c r="CD229" s="90" t="inlineStr">
        <is>
          <t/>
        </is>
      </c>
      <c r="CE229" s="91" t="inlineStr">
        <is>
          <t/>
        </is>
      </c>
      <c r="CF229" s="92" t="inlineStr">
        <is>
          <t>Completed</t>
        </is>
      </c>
      <c r="CG229" s="93" t="inlineStr">
        <is>
          <t>-1,14%</t>
        </is>
      </c>
      <c r="CH229" s="94" t="inlineStr">
        <is>
          <t>13</t>
        </is>
      </c>
      <c r="CI229" s="95" t="inlineStr">
        <is>
          <t>0,39%</t>
        </is>
      </c>
      <c r="CJ229" s="96" t="inlineStr">
        <is>
          <t>25,44%</t>
        </is>
      </c>
      <c r="CK229" s="97" t="inlineStr">
        <is>
          <t>0,00%</t>
        </is>
      </c>
      <c r="CL229" s="98" t="inlineStr">
        <is>
          <t>28</t>
        </is>
      </c>
      <c r="CM229" s="99" t="inlineStr">
        <is>
          <t>-2,28%</t>
        </is>
      </c>
      <c r="CN229" s="100" t="inlineStr">
        <is>
          <t>1</t>
        </is>
      </c>
      <c r="CO229" s="101" t="inlineStr">
        <is>
          <t/>
        </is>
      </c>
      <c r="CP229" s="102" t="inlineStr">
        <is>
          <t/>
        </is>
      </c>
      <c r="CQ229" s="103" t="inlineStr">
        <is>
          <t>0,00%</t>
        </is>
      </c>
      <c r="CR229" s="104" t="inlineStr">
        <is>
          <t>20</t>
        </is>
      </c>
      <c r="CS229" s="105" t="inlineStr">
        <is>
          <t/>
        </is>
      </c>
      <c r="CT229" s="106" t="inlineStr">
        <is>
          <t/>
        </is>
      </c>
      <c r="CU229" s="107" t="inlineStr">
        <is>
          <t>-2,28%</t>
        </is>
      </c>
      <c r="CV229" s="108" t="inlineStr">
        <is>
          <t>1</t>
        </is>
      </c>
      <c r="CW229" s="109" t="inlineStr">
        <is>
          <t>1,61x</t>
        </is>
      </c>
      <c r="CX229" s="110" t="inlineStr">
        <is>
          <t>60</t>
        </is>
      </c>
      <c r="CY229" s="111" t="inlineStr">
        <is>
          <t>0,03x</t>
        </is>
      </c>
      <c r="CZ229" s="112" t="inlineStr">
        <is>
          <t>1,95%</t>
        </is>
      </c>
      <c r="DA229" s="113" t="inlineStr">
        <is>
          <t>2,61x</t>
        </is>
      </c>
      <c r="DB229" s="114" t="inlineStr">
        <is>
          <t>72</t>
        </is>
      </c>
      <c r="DC229" s="115" t="inlineStr">
        <is>
          <t>0,61x</t>
        </is>
      </c>
      <c r="DD229" s="116" t="inlineStr">
        <is>
          <t>39</t>
        </is>
      </c>
      <c r="DE229" s="117" t="inlineStr">
        <is>
          <t/>
        </is>
      </c>
      <c r="DF229" s="118" t="inlineStr">
        <is>
          <t/>
        </is>
      </c>
      <c r="DG229" s="119" t="inlineStr">
        <is>
          <t>2,61x</t>
        </is>
      </c>
      <c r="DH229" s="120" t="inlineStr">
        <is>
          <t>70</t>
        </is>
      </c>
      <c r="DI229" s="121" t="inlineStr">
        <is>
          <t/>
        </is>
      </c>
      <c r="DJ229" s="122" t="inlineStr">
        <is>
          <t/>
        </is>
      </c>
      <c r="DK229" s="123" t="inlineStr">
        <is>
          <t>0,61x</t>
        </is>
      </c>
      <c r="DL229" s="124" t="inlineStr">
        <is>
          <t>41</t>
        </is>
      </c>
      <c r="DM229" s="125" t="inlineStr">
        <is>
          <t/>
        </is>
      </c>
      <c r="DN229" s="126" t="inlineStr">
        <is>
          <t/>
        </is>
      </c>
      <c r="DO229" s="127" t="inlineStr">
        <is>
          <t/>
        </is>
      </c>
      <c r="DP229" s="128" t="inlineStr">
        <is>
          <t>1.032</t>
        </is>
      </c>
      <c r="DQ229" s="129" t="inlineStr">
        <is>
          <t>151</t>
        </is>
      </c>
      <c r="DR229" s="130" t="inlineStr">
        <is>
          <t>17,14%</t>
        </is>
      </c>
      <c r="DS229" s="131" t="inlineStr">
        <is>
          <t>93</t>
        </is>
      </c>
      <c r="DT229" s="132" t="inlineStr">
        <is>
          <t>1</t>
        </is>
      </c>
      <c r="DU229" s="133" t="inlineStr">
        <is>
          <t>1,09%</t>
        </is>
      </c>
      <c r="DV229" s="134" t="inlineStr">
        <is>
          <t>224</t>
        </is>
      </c>
      <c r="DW229" s="135" t="inlineStr">
        <is>
          <t>8</t>
        </is>
      </c>
      <c r="DX229" s="136" t="inlineStr">
        <is>
          <t>3,70%</t>
        </is>
      </c>
      <c r="DY229" s="137" t="inlineStr">
        <is>
          <t>PitchBook Research</t>
        </is>
      </c>
      <c r="DZ229" s="785">
        <f>HYPERLINK("https://my.pitchbook.com?c=222271-93", "View company online")</f>
      </c>
    </row>
    <row r="230">
      <c r="A230" s="139" t="inlineStr">
        <is>
          <t>161458-03</t>
        </is>
      </c>
      <c r="B230" s="140" t="inlineStr">
        <is>
          <t>Convargo</t>
        </is>
      </c>
      <c r="C230" s="141" t="inlineStr">
        <is>
          <t/>
        </is>
      </c>
      <c r="D230" s="142" t="inlineStr">
        <is>
          <t/>
        </is>
      </c>
      <c r="E230" s="143" t="inlineStr">
        <is>
          <t>161458-03</t>
        </is>
      </c>
      <c r="F230" s="144" t="inlineStr">
        <is>
          <t>Provider of a freight connecting marketplace created to connect carriers and shippers. The company's connecting platform makes it easier for users to find and request the shipment and tracking of good across Europe, enabling users to find the most cost effective shipping method.</t>
        </is>
      </c>
      <c r="G230" s="145" t="inlineStr">
        <is>
          <t>Information Technology</t>
        </is>
      </c>
      <c r="H230" s="146" t="inlineStr">
        <is>
          <t>Software</t>
        </is>
      </c>
      <c r="I230" s="147" t="inlineStr">
        <is>
          <t>Social/Platform Software</t>
        </is>
      </c>
      <c r="J230" s="148" t="inlineStr">
        <is>
          <t>Social/Platform Software*; Road; Logistics</t>
        </is>
      </c>
      <c r="K230" s="149" t="inlineStr">
        <is>
          <t>E-Commerce, Mobile</t>
        </is>
      </c>
      <c r="L230" s="150" t="inlineStr">
        <is>
          <t>Venture Capital-Backed</t>
        </is>
      </c>
      <c r="M230" s="151" t="n">
        <v>17.66</v>
      </c>
      <c r="N230" s="152" t="inlineStr">
        <is>
          <t>Generating Revenue</t>
        </is>
      </c>
      <c r="O230" s="153" t="inlineStr">
        <is>
          <t>Privately Held (backing)</t>
        </is>
      </c>
      <c r="P230" s="154" t="inlineStr">
        <is>
          <t>Venture Capital</t>
        </is>
      </c>
      <c r="Q230" s="155" t="inlineStr">
        <is>
          <t>www.convargo.com</t>
        </is>
      </c>
      <c r="R230" s="156" t="n">
        <v>11.0</v>
      </c>
      <c r="S230" s="157" t="inlineStr">
        <is>
          <t/>
        </is>
      </c>
      <c r="T230" s="158" t="inlineStr">
        <is>
          <t/>
        </is>
      </c>
      <c r="U230" s="159" t="n">
        <v>2016.0</v>
      </c>
      <c r="V230" s="160" t="inlineStr">
        <is>
          <t/>
        </is>
      </c>
      <c r="W230" s="161" t="inlineStr">
        <is>
          <t/>
        </is>
      </c>
      <c r="X230" s="162" t="inlineStr">
        <is>
          <t/>
        </is>
      </c>
      <c r="Y230" s="163" t="inlineStr">
        <is>
          <t/>
        </is>
      </c>
      <c r="Z230" s="164" t="inlineStr">
        <is>
          <t/>
        </is>
      </c>
      <c r="AA230" s="165" t="inlineStr">
        <is>
          <t/>
        </is>
      </c>
      <c r="AB230" s="166" t="inlineStr">
        <is>
          <t/>
        </is>
      </c>
      <c r="AC230" s="167" t="inlineStr">
        <is>
          <t/>
        </is>
      </c>
      <c r="AD230" s="168" t="inlineStr">
        <is>
          <t/>
        </is>
      </c>
      <c r="AE230" s="169" t="inlineStr">
        <is>
          <t>108599-86P</t>
        </is>
      </c>
      <c r="AF230" s="170" t="inlineStr">
        <is>
          <t>Maxime Legardez</t>
        </is>
      </c>
      <c r="AG230" s="171" t="inlineStr">
        <is>
          <t>Co-Founder, President &amp; Chief Executive Officer</t>
        </is>
      </c>
      <c r="AH230" s="172" t="inlineStr">
        <is>
          <t>maxime.legardez@convargo.com</t>
        </is>
      </c>
      <c r="AI230" s="173" t="inlineStr">
        <is>
          <t>+33 (0)1 76 44 01 03</t>
        </is>
      </c>
      <c r="AJ230" s="174" t="inlineStr">
        <is>
          <t>Paris, France</t>
        </is>
      </c>
      <c r="AK230" s="175" t="inlineStr">
        <is>
          <t>224 rue Saint-Denis</t>
        </is>
      </c>
      <c r="AL230" s="176" t="inlineStr">
        <is>
          <t/>
        </is>
      </c>
      <c r="AM230" s="177" t="inlineStr">
        <is>
          <t>Paris</t>
        </is>
      </c>
      <c r="AN230" s="178" t="inlineStr">
        <is>
          <t/>
        </is>
      </c>
      <c r="AO230" s="179" t="inlineStr">
        <is>
          <t>75002</t>
        </is>
      </c>
      <c r="AP230" s="180" t="inlineStr">
        <is>
          <t>France</t>
        </is>
      </c>
      <c r="AQ230" s="181" t="inlineStr">
        <is>
          <t>+33 (0)1 76 44 01 03</t>
        </is>
      </c>
      <c r="AR230" s="182" t="inlineStr">
        <is>
          <t/>
        </is>
      </c>
      <c r="AS230" s="183" t="inlineStr">
        <is>
          <t>info@convargo.com</t>
        </is>
      </c>
      <c r="AT230" s="184" t="inlineStr">
        <is>
          <t>Europe</t>
        </is>
      </c>
      <c r="AU230" s="185" t="inlineStr">
        <is>
          <t>Western Europe</t>
        </is>
      </c>
      <c r="AV230" s="186" t="inlineStr">
        <is>
          <t>The company raised $19 million of Series A venture funding in a deal led by InVenture Partners and Earlybird Venture Capital on October 25, 2017. Clément Benoit, Roger Crook, Patrick Sayer, Anthony Fadell, Oskar Hartmann and Romain Afflelou also participated in the round. The funding will be used in further product development and to build new partnerships with manufacturing and distribution firms.</t>
        </is>
      </c>
      <c r="AW230" s="187" t="inlineStr">
        <is>
          <t>Benjamin Chemla, Clément Benoit, Earlybird Venture Capital, François Bourgeois, InVenture Partners, Jacques Antoine Granjon, Kima Ventures, Marc Menacé, Olivier Mathiot, Oskar Hartmann, Patrick Sayer, Pierre Kosciusko Morizet, Roger Crook, Romain Afflelou, Thibaud Lecuyer, Xavier Niel</t>
        </is>
      </c>
      <c r="AX230" s="188" t="n">
        <v>16.0</v>
      </c>
      <c r="AY230" s="189" t="inlineStr">
        <is>
          <t/>
        </is>
      </c>
      <c r="AZ230" s="190" t="inlineStr">
        <is>
          <t/>
        </is>
      </c>
      <c r="BA230" s="191" t="inlineStr">
        <is>
          <t/>
        </is>
      </c>
      <c r="BB230" s="192" t="inlineStr">
        <is>
          <t>Earlybird Venture Capital (www.earlybird.com), InVenture Partners (www.inventurepartners.com), Kima Ventures (www.kimaventures.com)</t>
        </is>
      </c>
      <c r="BC230" s="193" t="inlineStr">
        <is>
          <t/>
        </is>
      </c>
      <c r="BD230" s="194" t="inlineStr">
        <is>
          <t/>
        </is>
      </c>
      <c r="BE230" s="195" t="inlineStr">
        <is>
          <t/>
        </is>
      </c>
      <c r="BF230" s="196" t="inlineStr">
        <is>
          <t/>
        </is>
      </c>
      <c r="BG230" s="197" t="n">
        <v>42541.0</v>
      </c>
      <c r="BH230" s="198" t="n">
        <v>1.5</v>
      </c>
      <c r="BI230" s="199" t="inlineStr">
        <is>
          <t>Actual</t>
        </is>
      </c>
      <c r="BJ230" s="200" t="inlineStr">
        <is>
          <t/>
        </is>
      </c>
      <c r="BK230" s="201" t="inlineStr">
        <is>
          <t/>
        </is>
      </c>
      <c r="BL230" s="202" t="inlineStr">
        <is>
          <t>Angel (individual)</t>
        </is>
      </c>
      <c r="BM230" s="203" t="inlineStr">
        <is>
          <t>Angel</t>
        </is>
      </c>
      <c r="BN230" s="204" t="inlineStr">
        <is>
          <t/>
        </is>
      </c>
      <c r="BO230" s="205" t="inlineStr">
        <is>
          <t>Individual</t>
        </is>
      </c>
      <c r="BP230" s="206" t="inlineStr">
        <is>
          <t/>
        </is>
      </c>
      <c r="BQ230" s="207" t="inlineStr">
        <is>
          <t/>
        </is>
      </c>
      <c r="BR230" s="208" t="inlineStr">
        <is>
          <t/>
        </is>
      </c>
      <c r="BS230" s="209" t="inlineStr">
        <is>
          <t>Completed</t>
        </is>
      </c>
      <c r="BT230" s="210" t="n">
        <v>43033.0</v>
      </c>
      <c r="BU230" s="211" t="n">
        <v>16.16</v>
      </c>
      <c r="BV230" s="212" t="inlineStr">
        <is>
          <t>Actual</t>
        </is>
      </c>
      <c r="BW230" s="213" t="inlineStr">
        <is>
          <t/>
        </is>
      </c>
      <c r="BX230" s="214" t="inlineStr">
        <is>
          <t/>
        </is>
      </c>
      <c r="BY230" s="215" t="inlineStr">
        <is>
          <t>Early Stage VC</t>
        </is>
      </c>
      <c r="BZ230" s="216" t="inlineStr">
        <is>
          <t>Series A</t>
        </is>
      </c>
      <c r="CA230" s="217" t="inlineStr">
        <is>
          <t/>
        </is>
      </c>
      <c r="CB230" s="218" t="inlineStr">
        <is>
          <t>Venture Capital</t>
        </is>
      </c>
      <c r="CC230" s="219" t="inlineStr">
        <is>
          <t/>
        </is>
      </c>
      <c r="CD230" s="220" t="inlineStr">
        <is>
          <t/>
        </is>
      </c>
      <c r="CE230" s="221" t="inlineStr">
        <is>
          <t/>
        </is>
      </c>
      <c r="CF230" s="222" t="inlineStr">
        <is>
          <t>Completed</t>
        </is>
      </c>
      <c r="CG230" s="223" t="inlineStr">
        <is>
          <t>-3,38%</t>
        </is>
      </c>
      <c r="CH230" s="224" t="inlineStr">
        <is>
          <t>6</t>
        </is>
      </c>
      <c r="CI230" s="225" t="inlineStr">
        <is>
          <t>0,14%</t>
        </is>
      </c>
      <c r="CJ230" s="226" t="inlineStr">
        <is>
          <t>4,02%</t>
        </is>
      </c>
      <c r="CK230" s="227" t="inlineStr">
        <is>
          <t>-7,30%</t>
        </is>
      </c>
      <c r="CL230" s="228" t="inlineStr">
        <is>
          <t>5</t>
        </is>
      </c>
      <c r="CM230" s="229" t="inlineStr">
        <is>
          <t>0,54%</t>
        </is>
      </c>
      <c r="CN230" s="230" t="inlineStr">
        <is>
          <t>90</t>
        </is>
      </c>
      <c r="CO230" s="231" t="inlineStr">
        <is>
          <t>-15,22%</t>
        </is>
      </c>
      <c r="CP230" s="232" t="inlineStr">
        <is>
          <t>8</t>
        </is>
      </c>
      <c r="CQ230" s="233" t="inlineStr">
        <is>
          <t>0,62%</t>
        </is>
      </c>
      <c r="CR230" s="234" t="inlineStr">
        <is>
          <t>92</t>
        </is>
      </c>
      <c r="CS230" s="235" t="inlineStr">
        <is>
          <t>0,54%</t>
        </is>
      </c>
      <c r="CT230" s="236" t="inlineStr">
        <is>
          <t>88</t>
        </is>
      </c>
      <c r="CU230" s="237" t="inlineStr">
        <is>
          <t/>
        </is>
      </c>
      <c r="CV230" s="238" t="inlineStr">
        <is>
          <t/>
        </is>
      </c>
      <c r="CW230" s="239" t="inlineStr">
        <is>
          <t>2,27x</t>
        </is>
      </c>
      <c r="CX230" s="240" t="inlineStr">
        <is>
          <t>67</t>
        </is>
      </c>
      <c r="CY230" s="241" t="inlineStr">
        <is>
          <t>0,02x</t>
        </is>
      </c>
      <c r="CZ230" s="242" t="inlineStr">
        <is>
          <t>0,80%</t>
        </is>
      </c>
      <c r="DA230" s="243" t="inlineStr">
        <is>
          <t>2,80x</t>
        </is>
      </c>
      <c r="DB230" s="244" t="inlineStr">
        <is>
          <t>73</t>
        </is>
      </c>
      <c r="DC230" s="245" t="inlineStr">
        <is>
          <t>1,75x</t>
        </is>
      </c>
      <c r="DD230" s="246" t="inlineStr">
        <is>
          <t>59</t>
        </is>
      </c>
      <c r="DE230" s="247" t="inlineStr">
        <is>
          <t>2,62x</t>
        </is>
      </c>
      <c r="DF230" s="248" t="inlineStr">
        <is>
          <t>71</t>
        </is>
      </c>
      <c r="DG230" s="249" t="inlineStr">
        <is>
          <t>2,97x</t>
        </is>
      </c>
      <c r="DH230" s="250" t="inlineStr">
        <is>
          <t>72</t>
        </is>
      </c>
      <c r="DI230" s="251" t="inlineStr">
        <is>
          <t>1,75x</t>
        </is>
      </c>
      <c r="DJ230" s="252" t="inlineStr">
        <is>
          <t>60</t>
        </is>
      </c>
      <c r="DK230" s="253" t="inlineStr">
        <is>
          <t/>
        </is>
      </c>
      <c r="DL230" s="254" t="inlineStr">
        <is>
          <t/>
        </is>
      </c>
      <c r="DM230" s="255" t="inlineStr">
        <is>
          <t>1.105</t>
        </is>
      </c>
      <c r="DN230" s="256" t="inlineStr">
        <is>
          <t>-396</t>
        </is>
      </c>
      <c r="DO230" s="257" t="inlineStr">
        <is>
          <t>-26,38%</t>
        </is>
      </c>
      <c r="DP230" s="258" t="inlineStr">
        <is>
          <t>1.380</t>
        </is>
      </c>
      <c r="DQ230" s="259" t="inlineStr">
        <is>
          <t>6</t>
        </is>
      </c>
      <c r="DR230" s="260" t="inlineStr">
        <is>
          <t>0,44%</t>
        </is>
      </c>
      <c r="DS230" s="261" t="inlineStr">
        <is>
          <t>105</t>
        </is>
      </c>
      <c r="DT230" s="262" t="inlineStr">
        <is>
          <t>6</t>
        </is>
      </c>
      <c r="DU230" s="263" t="inlineStr">
        <is>
          <t>6,06%</t>
        </is>
      </c>
      <c r="DV230" s="264" t="inlineStr">
        <is>
          <t/>
        </is>
      </c>
      <c r="DW230" s="265" t="inlineStr">
        <is>
          <t/>
        </is>
      </c>
      <c r="DX230" s="266" t="inlineStr">
        <is>
          <t/>
        </is>
      </c>
      <c r="DY230" s="267" t="inlineStr">
        <is>
          <t>PitchBook Research</t>
        </is>
      </c>
      <c r="DZ230" s="786">
        <f>HYPERLINK("https://my.pitchbook.com?c=161458-03", "View company online")</f>
      </c>
    </row>
    <row r="231">
      <c r="A231" s="9" t="inlineStr">
        <is>
          <t>114917-77</t>
        </is>
      </c>
      <c r="B231" s="10" t="inlineStr">
        <is>
          <t>BioSerenity</t>
        </is>
      </c>
      <c r="C231" s="11" t="inlineStr">
        <is>
          <t/>
        </is>
      </c>
      <c r="D231" s="12" t="inlineStr">
        <is>
          <t/>
        </is>
      </c>
      <c r="E231" s="13" t="inlineStr">
        <is>
          <t>114917-77</t>
        </is>
      </c>
      <c r="F231" s="14" t="inlineStr">
        <is>
          <t>Developer of medical wearable devices designed to diagnose and monitor epilepsy. The company's medical wearable devices are made combining high tech engineering, medical development and big data analytics that helps in long term monitoring of EEG signals that are anonymized and deprived of any link with the patient and are collected by the researchers, enabling scientific community to better understand epilepsy to better treat it.</t>
        </is>
      </c>
      <c r="G231" s="15" t="inlineStr">
        <is>
          <t>Healthcare</t>
        </is>
      </c>
      <c r="H231" s="16" t="inlineStr">
        <is>
          <t>Healthcare Devices and Supplies</t>
        </is>
      </c>
      <c r="I231" s="17" t="inlineStr">
        <is>
          <t>Diagnostic Equipment</t>
        </is>
      </c>
      <c r="J231" s="18" t="inlineStr">
        <is>
          <t>Diagnostic Equipment*; Monitoring Equipment; Other Devices and Supplies</t>
        </is>
      </c>
      <c r="K231" s="19" t="inlineStr">
        <is>
          <t>Big Data, Internet of Things, Wearables &amp; Quantified Self</t>
        </is>
      </c>
      <c r="L231" s="20" t="inlineStr">
        <is>
          <t>Venture Capital-Backed</t>
        </is>
      </c>
      <c r="M231" s="21" t="n">
        <v>18.0</v>
      </c>
      <c r="N231" s="22" t="inlineStr">
        <is>
          <t>Startup</t>
        </is>
      </c>
      <c r="O231" s="23" t="inlineStr">
        <is>
          <t>Privately Held (backing)</t>
        </is>
      </c>
      <c r="P231" s="24" t="inlineStr">
        <is>
          <t>Venture Capital</t>
        </is>
      </c>
      <c r="Q231" s="25" t="inlineStr">
        <is>
          <t>www.bioserenity.com</t>
        </is>
      </c>
      <c r="R231" s="26" t="n">
        <v>50.0</v>
      </c>
      <c r="S231" s="27" t="inlineStr">
        <is>
          <t/>
        </is>
      </c>
      <c r="T231" s="28" t="inlineStr">
        <is>
          <t/>
        </is>
      </c>
      <c r="U231" s="29" t="n">
        <v>2013.0</v>
      </c>
      <c r="V231" s="30" t="inlineStr">
        <is>
          <t/>
        </is>
      </c>
      <c r="W231" s="31" t="inlineStr">
        <is>
          <t/>
        </is>
      </c>
      <c r="X231" s="32" t="inlineStr">
        <is>
          <t/>
        </is>
      </c>
      <c r="Y231" s="33" t="inlineStr">
        <is>
          <t/>
        </is>
      </c>
      <c r="Z231" s="34" t="inlineStr">
        <is>
          <t/>
        </is>
      </c>
      <c r="AA231" s="35" t="inlineStr">
        <is>
          <t/>
        </is>
      </c>
      <c r="AB231" s="36" t="inlineStr">
        <is>
          <t/>
        </is>
      </c>
      <c r="AC231" s="37" t="inlineStr">
        <is>
          <t/>
        </is>
      </c>
      <c r="AD231" s="38" t="inlineStr">
        <is>
          <t/>
        </is>
      </c>
      <c r="AE231" s="39" t="inlineStr">
        <is>
          <t>102323-35P</t>
        </is>
      </c>
      <c r="AF231" s="40" t="inlineStr">
        <is>
          <t>Pierre Frouin</t>
        </is>
      </c>
      <c r="AG231" s="41" t="inlineStr">
        <is>
          <t>Founder &amp; Chief Executive Officer</t>
        </is>
      </c>
      <c r="AH231" s="42" t="inlineStr">
        <is>
          <t>pierre.frouin@bioserenity.com</t>
        </is>
      </c>
      <c r="AI231" s="43" t="inlineStr">
        <is>
          <t/>
        </is>
      </c>
      <c r="AJ231" s="44" t="inlineStr">
        <is>
          <t>Paris, France</t>
        </is>
      </c>
      <c r="AK231" s="45" t="inlineStr">
        <is>
          <t>ICM - iPEPS</t>
        </is>
      </c>
      <c r="AL231" s="46" t="inlineStr">
        <is>
          <t>47 Boulevard Hospital</t>
        </is>
      </c>
      <c r="AM231" s="47" t="inlineStr">
        <is>
          <t>Paris</t>
        </is>
      </c>
      <c r="AN231" s="48" t="inlineStr">
        <is>
          <t/>
        </is>
      </c>
      <c r="AO231" s="49" t="inlineStr">
        <is>
          <t>75013</t>
        </is>
      </c>
      <c r="AP231" s="50" t="inlineStr">
        <is>
          <t>France</t>
        </is>
      </c>
      <c r="AQ231" s="51" t="inlineStr">
        <is>
          <t/>
        </is>
      </c>
      <c r="AR231" s="52" t="inlineStr">
        <is>
          <t/>
        </is>
      </c>
      <c r="AS231" s="53" t="inlineStr">
        <is>
          <t/>
        </is>
      </c>
      <c r="AT231" s="54" t="inlineStr">
        <is>
          <t>Europe</t>
        </is>
      </c>
      <c r="AU231" s="55" t="inlineStr">
        <is>
          <t>Western Europe</t>
        </is>
      </c>
      <c r="AV231" s="56" t="inlineStr">
        <is>
          <t>The company raised EUR 15 million of Series A venture funding in a deal led by LBO France on September 20, 2017. Bpifrance and IdInvest Partners also participated in this round. With this fund raising, the company obtains not only the means to finance their growth but also investors who have expertise in the digital and medical innovation, two sectors that intersect at BioSerenity.</t>
        </is>
      </c>
      <c r="AW231" s="57" t="inlineStr">
        <is>
          <t>Bpifrance, IdInvest Partners, INNOTHERA, Innovation Capital (France), Kurma Partners, LBO France, StartX</t>
        </is>
      </c>
      <c r="AX231" s="58" t="n">
        <v>7.0</v>
      </c>
      <c r="AY231" s="59" t="inlineStr">
        <is>
          <t/>
        </is>
      </c>
      <c r="AZ231" s="60" t="inlineStr">
        <is>
          <t/>
        </is>
      </c>
      <c r="BA231" s="61" t="inlineStr">
        <is>
          <t/>
        </is>
      </c>
      <c r="BB231" s="62" t="inlineStr">
        <is>
          <t>Bpifrance (www.bpifrance.fr), IdInvest Partners (www.idinvest.com), INNOTHERA (www.innothera.com), Innovation Capital (France) (www.innovationcapital.fr), Kurma Partners (www.kurmapartners.com), LBO France (www.lbofrance.com), StartX (www.startx.com)</t>
        </is>
      </c>
      <c r="BC231" s="63" t="inlineStr">
        <is>
          <t/>
        </is>
      </c>
      <c r="BD231" s="64" t="inlineStr">
        <is>
          <t/>
        </is>
      </c>
      <c r="BE231" s="65" t="inlineStr">
        <is>
          <t/>
        </is>
      </c>
      <c r="BF231" s="66" t="inlineStr">
        <is>
          <t/>
        </is>
      </c>
      <c r="BG231" s="67" t="inlineStr">
        <is>
          <t/>
        </is>
      </c>
      <c r="BH231" s="68" t="inlineStr">
        <is>
          <t/>
        </is>
      </c>
      <c r="BI231" s="69" t="inlineStr">
        <is>
          <t/>
        </is>
      </c>
      <c r="BJ231" s="70" t="inlineStr">
        <is>
          <t/>
        </is>
      </c>
      <c r="BK231" s="71" t="inlineStr">
        <is>
          <t/>
        </is>
      </c>
      <c r="BL231" s="72" t="inlineStr">
        <is>
          <t>Accelerator/Incubator</t>
        </is>
      </c>
      <c r="BM231" s="73" t="inlineStr">
        <is>
          <t/>
        </is>
      </c>
      <c r="BN231" s="74" t="inlineStr">
        <is>
          <t/>
        </is>
      </c>
      <c r="BO231" s="75" t="inlineStr">
        <is>
          <t>Other</t>
        </is>
      </c>
      <c r="BP231" s="76" t="inlineStr">
        <is>
          <t/>
        </is>
      </c>
      <c r="BQ231" s="77" t="inlineStr">
        <is>
          <t/>
        </is>
      </c>
      <c r="BR231" s="78" t="inlineStr">
        <is>
          <t/>
        </is>
      </c>
      <c r="BS231" s="79" t="inlineStr">
        <is>
          <t>Completed</t>
        </is>
      </c>
      <c r="BT231" s="80" t="n">
        <v>42998.0</v>
      </c>
      <c r="BU231" s="81" t="n">
        <v>15.0</v>
      </c>
      <c r="BV231" s="82" t="inlineStr">
        <is>
          <t>Actual</t>
        </is>
      </c>
      <c r="BW231" s="83" t="inlineStr">
        <is>
          <t/>
        </is>
      </c>
      <c r="BX231" s="84" t="inlineStr">
        <is>
          <t/>
        </is>
      </c>
      <c r="BY231" s="85" t="inlineStr">
        <is>
          <t>Early Stage VC</t>
        </is>
      </c>
      <c r="BZ231" s="86" t="inlineStr">
        <is>
          <t>Series A</t>
        </is>
      </c>
      <c r="CA231" s="87" t="inlineStr">
        <is>
          <t/>
        </is>
      </c>
      <c r="CB231" s="88" t="inlineStr">
        <is>
          <t>Venture Capital</t>
        </is>
      </c>
      <c r="CC231" s="89" t="inlineStr">
        <is>
          <t/>
        </is>
      </c>
      <c r="CD231" s="90" t="inlineStr">
        <is>
          <t/>
        </is>
      </c>
      <c r="CE231" s="91" t="inlineStr">
        <is>
          <t/>
        </is>
      </c>
      <c r="CF231" s="92" t="inlineStr">
        <is>
          <t>Completed</t>
        </is>
      </c>
      <c r="CG231" s="93" t="inlineStr">
        <is>
          <t>-0,01%</t>
        </is>
      </c>
      <c r="CH231" s="94" t="inlineStr">
        <is>
          <t>31</t>
        </is>
      </c>
      <c r="CI231" s="95" t="inlineStr">
        <is>
          <t>-0,10%</t>
        </is>
      </c>
      <c r="CJ231" s="96" t="inlineStr">
        <is>
          <t>-109,14%</t>
        </is>
      </c>
      <c r="CK231" s="97" t="inlineStr">
        <is>
          <t>-1,03%</t>
        </is>
      </c>
      <c r="CL231" s="98" t="inlineStr">
        <is>
          <t>19</t>
        </is>
      </c>
      <c r="CM231" s="99" t="inlineStr">
        <is>
          <t>0,49%</t>
        </is>
      </c>
      <c r="CN231" s="100" t="inlineStr">
        <is>
          <t>88</t>
        </is>
      </c>
      <c r="CO231" s="101" t="inlineStr">
        <is>
          <t>-1,42%</t>
        </is>
      </c>
      <c r="CP231" s="102" t="inlineStr">
        <is>
          <t>32</t>
        </is>
      </c>
      <c r="CQ231" s="103" t="inlineStr">
        <is>
          <t>-0,64%</t>
        </is>
      </c>
      <c r="CR231" s="104" t="inlineStr">
        <is>
          <t>14</t>
        </is>
      </c>
      <c r="CS231" s="105" t="inlineStr">
        <is>
          <t>0,22%</t>
        </is>
      </c>
      <c r="CT231" s="106" t="inlineStr">
        <is>
          <t>71</t>
        </is>
      </c>
      <c r="CU231" s="107" t="inlineStr">
        <is>
          <t>0,76%</t>
        </is>
      </c>
      <c r="CV231" s="108" t="inlineStr">
        <is>
          <t>95</t>
        </is>
      </c>
      <c r="CW231" s="109" t="inlineStr">
        <is>
          <t>1,32x</t>
        </is>
      </c>
      <c r="CX231" s="110" t="inlineStr">
        <is>
          <t>56</t>
        </is>
      </c>
      <c r="CY231" s="111" t="inlineStr">
        <is>
          <t>-0,03x</t>
        </is>
      </c>
      <c r="CZ231" s="112" t="inlineStr">
        <is>
          <t>-2,24%</t>
        </is>
      </c>
      <c r="DA231" s="113" t="inlineStr">
        <is>
          <t>2,55x</t>
        </is>
      </c>
      <c r="DB231" s="114" t="inlineStr">
        <is>
          <t>71</t>
        </is>
      </c>
      <c r="DC231" s="115" t="inlineStr">
        <is>
          <t>1,22x</t>
        </is>
      </c>
      <c r="DD231" s="116" t="inlineStr">
        <is>
          <t>52</t>
        </is>
      </c>
      <c r="DE231" s="117" t="inlineStr">
        <is>
          <t>0,96x</t>
        </is>
      </c>
      <c r="DF231" s="118" t="inlineStr">
        <is>
          <t>49</t>
        </is>
      </c>
      <c r="DG231" s="119" t="inlineStr">
        <is>
          <t>4,14x</t>
        </is>
      </c>
      <c r="DH231" s="120" t="inlineStr">
        <is>
          <t>77</t>
        </is>
      </c>
      <c r="DI231" s="121" t="inlineStr">
        <is>
          <t>0,93x</t>
        </is>
      </c>
      <c r="DJ231" s="122" t="inlineStr">
        <is>
          <t>49</t>
        </is>
      </c>
      <c r="DK231" s="123" t="inlineStr">
        <is>
          <t>1,51x</t>
        </is>
      </c>
      <c r="DL231" s="124" t="inlineStr">
        <is>
          <t>58</t>
        </is>
      </c>
      <c r="DM231" s="125" t="inlineStr">
        <is>
          <t>380</t>
        </is>
      </c>
      <c r="DN231" s="126" t="inlineStr">
        <is>
          <t>-67</t>
        </is>
      </c>
      <c r="DO231" s="127" t="inlineStr">
        <is>
          <t>-14,99%</t>
        </is>
      </c>
      <c r="DP231" s="128" t="inlineStr">
        <is>
          <t>738</t>
        </is>
      </c>
      <c r="DQ231" s="129" t="inlineStr">
        <is>
          <t>2</t>
        </is>
      </c>
      <c r="DR231" s="130" t="inlineStr">
        <is>
          <t>0,27%</t>
        </is>
      </c>
      <c r="DS231" s="131" t="inlineStr">
        <is>
          <t>151</t>
        </is>
      </c>
      <c r="DT231" s="132" t="inlineStr">
        <is>
          <t>-4</t>
        </is>
      </c>
      <c r="DU231" s="133" t="inlineStr">
        <is>
          <t>-2,58%</t>
        </is>
      </c>
      <c r="DV231" s="134" t="inlineStr">
        <is>
          <t>562</t>
        </is>
      </c>
      <c r="DW231" s="135" t="inlineStr">
        <is>
          <t>4</t>
        </is>
      </c>
      <c r="DX231" s="136" t="inlineStr">
        <is>
          <t>0,72%</t>
        </is>
      </c>
      <c r="DY231" s="137" t="inlineStr">
        <is>
          <t>PitchBook Research</t>
        </is>
      </c>
      <c r="DZ231" s="785">
        <f>HYPERLINK("https://my.pitchbook.com?c=114917-77", "View company online")</f>
      </c>
    </row>
    <row r="232">
      <c r="A232" s="139" t="inlineStr">
        <is>
          <t>155836-27</t>
        </is>
      </c>
      <c r="B232" s="140" t="inlineStr">
        <is>
          <t>Topas Therapeutics</t>
        </is>
      </c>
      <c r="C232" s="141" t="inlineStr">
        <is>
          <t/>
        </is>
      </c>
      <c r="D232" s="142" t="inlineStr">
        <is>
          <t/>
        </is>
      </c>
      <c r="E232" s="143" t="inlineStr">
        <is>
          <t>155836-27</t>
        </is>
      </c>
      <c r="F232" s="144" t="inlineStr">
        <is>
          <t>Developer of nanoparticle-based technology designed to treat immunological disorders. The company's nanoparticle-based technology targets autoimmune and inflammatory diseases via the induction of antigen specific immune tolerance in the liver, enabling patients to get treatment through advanced method and get better results faster.</t>
        </is>
      </c>
      <c r="G232" s="145" t="inlineStr">
        <is>
          <t>Healthcare</t>
        </is>
      </c>
      <c r="H232" s="146" t="inlineStr">
        <is>
          <t>Pharmaceuticals and Biotechnology</t>
        </is>
      </c>
      <c r="I232" s="147" t="inlineStr">
        <is>
          <t>Biotechnology</t>
        </is>
      </c>
      <c r="J232" s="148" t="inlineStr">
        <is>
          <t>Biotechnology*; Drug Discovery</t>
        </is>
      </c>
      <c r="K232" s="149" t="inlineStr">
        <is>
          <t>Life Sciences, Nanotechnology</t>
        </is>
      </c>
      <c r="L232" s="150" t="inlineStr">
        <is>
          <t>Venture Capital-Backed</t>
        </is>
      </c>
      <c r="M232" s="151" t="n">
        <v>18.0</v>
      </c>
      <c r="N232" s="152" t="inlineStr">
        <is>
          <t>Generating Revenue</t>
        </is>
      </c>
      <c r="O232" s="153" t="inlineStr">
        <is>
          <t>Privately Held (backing)</t>
        </is>
      </c>
      <c r="P232" s="154" t="inlineStr">
        <is>
          <t>Venture Capital</t>
        </is>
      </c>
      <c r="Q232" s="155" t="inlineStr">
        <is>
          <t>www.topas-therapeutics.com</t>
        </is>
      </c>
      <c r="R232" s="156" t="inlineStr">
        <is>
          <t/>
        </is>
      </c>
      <c r="S232" s="157" t="inlineStr">
        <is>
          <t/>
        </is>
      </c>
      <c r="T232" s="158" t="inlineStr">
        <is>
          <t/>
        </is>
      </c>
      <c r="U232" s="159" t="n">
        <v>2013.0</v>
      </c>
      <c r="V232" s="160" t="inlineStr">
        <is>
          <t/>
        </is>
      </c>
      <c r="W232" s="161" t="inlineStr">
        <is>
          <t/>
        </is>
      </c>
      <c r="X232" s="162" t="inlineStr">
        <is>
          <t/>
        </is>
      </c>
      <c r="Y232" s="163" t="inlineStr">
        <is>
          <t/>
        </is>
      </c>
      <c r="Z232" s="164" t="inlineStr">
        <is>
          <t/>
        </is>
      </c>
      <c r="AA232" s="165" t="inlineStr">
        <is>
          <t/>
        </is>
      </c>
      <c r="AB232" s="166" t="inlineStr">
        <is>
          <t/>
        </is>
      </c>
      <c r="AC232" s="167" t="inlineStr">
        <is>
          <t/>
        </is>
      </c>
      <c r="AD232" s="168" t="inlineStr">
        <is>
          <t/>
        </is>
      </c>
      <c r="AE232" s="169" t="inlineStr">
        <is>
          <t>69837-04P</t>
        </is>
      </c>
      <c r="AF232" s="170" t="inlineStr">
        <is>
          <t>Timm Jessen</t>
        </is>
      </c>
      <c r="AG232" s="171" t="inlineStr">
        <is>
          <t>Co-Founder, Board Member and Chief Executive Officer</t>
        </is>
      </c>
      <c r="AH232" s="172" t="inlineStr">
        <is>
          <t/>
        </is>
      </c>
      <c r="AI232" s="173" t="inlineStr">
        <is>
          <t>+49 (0)40 4719 6320</t>
        </is>
      </c>
      <c r="AJ232" s="174" t="inlineStr">
        <is>
          <t>Hamburg, Germany</t>
        </is>
      </c>
      <c r="AK232" s="175" t="inlineStr">
        <is>
          <t>Falkenried 88, Haus A</t>
        </is>
      </c>
      <c r="AL232" s="176" t="inlineStr">
        <is>
          <t/>
        </is>
      </c>
      <c r="AM232" s="177" t="inlineStr">
        <is>
          <t>Hamburg</t>
        </is>
      </c>
      <c r="AN232" s="178" t="inlineStr">
        <is>
          <t/>
        </is>
      </c>
      <c r="AO232" s="179" t="inlineStr">
        <is>
          <t>20251</t>
        </is>
      </c>
      <c r="AP232" s="180" t="inlineStr">
        <is>
          <t>Germany</t>
        </is>
      </c>
      <c r="AQ232" s="181" t="inlineStr">
        <is>
          <t>+49 (0)40 4719 6320</t>
        </is>
      </c>
      <c r="AR232" s="182" t="inlineStr">
        <is>
          <t/>
        </is>
      </c>
      <c r="AS232" s="183" t="inlineStr">
        <is>
          <t>info@topas-therapeutics.de</t>
        </is>
      </c>
      <c r="AT232" s="184" t="inlineStr">
        <is>
          <t>Europe</t>
        </is>
      </c>
      <c r="AU232" s="185" t="inlineStr">
        <is>
          <t>Western Europe</t>
        </is>
      </c>
      <c r="AV232" s="186" t="inlineStr">
        <is>
          <t>The company raised EUR 18 million of Series A venture funding in a deal led by Epidarex Capital on November 2, 2017. Boehringer Ingelheim Venture Fund, EMBL Ventures, Evotec and Gimv also participated in the round. The funding will be used to accelerate its proprietary tolerance induction platform and to progress with its product development to POC stage in multiple autoimmune and inflammatory indications including multiple sclerosis. Evotec will keep a majority stake in the company after the transaction.</t>
        </is>
      </c>
      <c r="AW232" s="187" t="inlineStr">
        <is>
          <t>Boehringer Ingelheim Venture Fund, EMBL Ventures, Epidarex Capital, Evotec, Gimv</t>
        </is>
      </c>
      <c r="AX232" s="188" t="n">
        <v>5.0</v>
      </c>
      <c r="AY232" s="189" t="inlineStr">
        <is>
          <t/>
        </is>
      </c>
      <c r="AZ232" s="190" t="inlineStr">
        <is>
          <t/>
        </is>
      </c>
      <c r="BA232" s="191" t="inlineStr">
        <is>
          <t/>
        </is>
      </c>
      <c r="BB232" s="192" t="inlineStr">
        <is>
          <t>Boehringer Ingelheim Venture Fund (www.boehringer-ingelheim-venture.com), EMBL Ventures (www.embl-ventures.com), Epidarex Capital (www.epidarex.com), Evotec (www.evotec.com), Gimv (www.gimv.com)</t>
        </is>
      </c>
      <c r="BC232" s="193" t="inlineStr">
        <is>
          <t/>
        </is>
      </c>
      <c r="BD232" s="194" t="inlineStr">
        <is>
          <t/>
        </is>
      </c>
      <c r="BE232" s="195" t="inlineStr">
        <is>
          <t/>
        </is>
      </c>
      <c r="BF232" s="196" t="inlineStr">
        <is>
          <t/>
        </is>
      </c>
      <c r="BG232" s="197" t="n">
        <v>43041.0</v>
      </c>
      <c r="BH232" s="198" t="n">
        <v>18.0</v>
      </c>
      <c r="BI232" s="199" t="inlineStr">
        <is>
          <t>Actual</t>
        </is>
      </c>
      <c r="BJ232" s="200" t="inlineStr">
        <is>
          <t/>
        </is>
      </c>
      <c r="BK232" s="201" t="inlineStr">
        <is>
          <t/>
        </is>
      </c>
      <c r="BL232" s="202" t="inlineStr">
        <is>
          <t>Early Stage VC</t>
        </is>
      </c>
      <c r="BM232" s="203" t="inlineStr">
        <is>
          <t>Series A</t>
        </is>
      </c>
      <c r="BN232" s="204" t="inlineStr">
        <is>
          <t/>
        </is>
      </c>
      <c r="BO232" s="205" t="inlineStr">
        <is>
          <t>Venture Capital</t>
        </is>
      </c>
      <c r="BP232" s="206" t="inlineStr">
        <is>
          <t/>
        </is>
      </c>
      <c r="BQ232" s="207" t="inlineStr">
        <is>
          <t/>
        </is>
      </c>
      <c r="BR232" s="208" t="inlineStr">
        <is>
          <t/>
        </is>
      </c>
      <c r="BS232" s="209" t="inlineStr">
        <is>
          <t>Completed</t>
        </is>
      </c>
      <c r="BT232" s="210" t="n">
        <v>43041.0</v>
      </c>
      <c r="BU232" s="211" t="n">
        <v>18.0</v>
      </c>
      <c r="BV232" s="212" t="inlineStr">
        <is>
          <t>Actual</t>
        </is>
      </c>
      <c r="BW232" s="213" t="inlineStr">
        <is>
          <t/>
        </is>
      </c>
      <c r="BX232" s="214" t="inlineStr">
        <is>
          <t/>
        </is>
      </c>
      <c r="BY232" s="215" t="inlineStr">
        <is>
          <t>Early Stage VC</t>
        </is>
      </c>
      <c r="BZ232" s="216" t="inlineStr">
        <is>
          <t>Series A</t>
        </is>
      </c>
      <c r="CA232" s="217" t="inlineStr">
        <is>
          <t/>
        </is>
      </c>
      <c r="CB232" s="218" t="inlineStr">
        <is>
          <t>Venture Capital</t>
        </is>
      </c>
      <c r="CC232" s="219" t="inlineStr">
        <is>
          <t/>
        </is>
      </c>
      <c r="CD232" s="220" t="inlineStr">
        <is>
          <t/>
        </is>
      </c>
      <c r="CE232" s="221" t="inlineStr">
        <is>
          <t/>
        </is>
      </c>
      <c r="CF232" s="222" t="inlineStr">
        <is>
          <t>Completed</t>
        </is>
      </c>
      <c r="CG232" s="223" t="inlineStr">
        <is>
          <t/>
        </is>
      </c>
      <c r="CH232" s="224" t="inlineStr">
        <is>
          <t/>
        </is>
      </c>
      <c r="CI232" s="225" t="inlineStr">
        <is>
          <t/>
        </is>
      </c>
      <c r="CJ232" s="226" t="inlineStr">
        <is>
          <t/>
        </is>
      </c>
      <c r="CK232" s="227" t="inlineStr">
        <is>
          <t/>
        </is>
      </c>
      <c r="CL232" s="228" t="inlineStr">
        <is>
          <t/>
        </is>
      </c>
      <c r="CM232" s="229" t="inlineStr">
        <is>
          <t/>
        </is>
      </c>
      <c r="CN232" s="230" t="inlineStr">
        <is>
          <t/>
        </is>
      </c>
      <c r="CO232" s="231" t="inlineStr">
        <is>
          <t/>
        </is>
      </c>
      <c r="CP232" s="232" t="inlineStr">
        <is>
          <t/>
        </is>
      </c>
      <c r="CQ232" s="233" t="inlineStr">
        <is>
          <t/>
        </is>
      </c>
      <c r="CR232" s="234" t="inlineStr">
        <is>
          <t/>
        </is>
      </c>
      <c r="CS232" s="235" t="inlineStr">
        <is>
          <t/>
        </is>
      </c>
      <c r="CT232" s="236" t="inlineStr">
        <is>
          <t/>
        </is>
      </c>
      <c r="CU232" s="237" t="inlineStr">
        <is>
          <t/>
        </is>
      </c>
      <c r="CV232" s="238" t="inlineStr">
        <is>
          <t/>
        </is>
      </c>
      <c r="CW232" s="239" t="inlineStr">
        <is>
          <t/>
        </is>
      </c>
      <c r="CX232" s="240" t="inlineStr">
        <is>
          <t/>
        </is>
      </c>
      <c r="CY232" s="241" t="inlineStr">
        <is>
          <t/>
        </is>
      </c>
      <c r="CZ232" s="242" t="inlineStr">
        <is>
          <t/>
        </is>
      </c>
      <c r="DA232" s="243" t="inlineStr">
        <is>
          <t/>
        </is>
      </c>
      <c r="DB232" s="244" t="inlineStr">
        <is>
          <t/>
        </is>
      </c>
      <c r="DC232" s="245" t="inlineStr">
        <is>
          <t/>
        </is>
      </c>
      <c r="DD232" s="246" t="inlineStr">
        <is>
          <t/>
        </is>
      </c>
      <c r="DE232" s="247" t="inlineStr">
        <is>
          <t/>
        </is>
      </c>
      <c r="DF232" s="248" t="inlineStr">
        <is>
          <t/>
        </is>
      </c>
      <c r="DG232" s="249" t="inlineStr">
        <is>
          <t/>
        </is>
      </c>
      <c r="DH232" s="250" t="inlineStr">
        <is>
          <t/>
        </is>
      </c>
      <c r="DI232" s="251" t="inlineStr">
        <is>
          <t/>
        </is>
      </c>
      <c r="DJ232" s="252" t="inlineStr">
        <is>
          <t/>
        </is>
      </c>
      <c r="DK232" s="253" t="inlineStr">
        <is>
          <t/>
        </is>
      </c>
      <c r="DL232" s="254" t="inlineStr">
        <is>
          <t/>
        </is>
      </c>
      <c r="DM232" s="255" t="inlineStr">
        <is>
          <t/>
        </is>
      </c>
      <c r="DN232" s="256" t="inlineStr">
        <is>
          <t/>
        </is>
      </c>
      <c r="DO232" s="257" t="inlineStr">
        <is>
          <t/>
        </is>
      </c>
      <c r="DP232" s="258" t="inlineStr">
        <is>
          <t/>
        </is>
      </c>
      <c r="DQ232" s="259" t="inlineStr">
        <is>
          <t/>
        </is>
      </c>
      <c r="DR232" s="260" t="inlineStr">
        <is>
          <t/>
        </is>
      </c>
      <c r="DS232" s="261" t="inlineStr">
        <is>
          <t/>
        </is>
      </c>
      <c r="DT232" s="262" t="inlineStr">
        <is>
          <t/>
        </is>
      </c>
      <c r="DU232" s="263" t="inlineStr">
        <is>
          <t/>
        </is>
      </c>
      <c r="DV232" s="264" t="inlineStr">
        <is>
          <t/>
        </is>
      </c>
      <c r="DW232" s="265" t="inlineStr">
        <is>
          <t/>
        </is>
      </c>
      <c r="DX232" s="266" t="inlineStr">
        <is>
          <t/>
        </is>
      </c>
      <c r="DY232" s="267" t="inlineStr">
        <is>
          <t>PitchBook Research</t>
        </is>
      </c>
      <c r="DZ232" s="786">
        <f>HYPERLINK("https://my.pitchbook.com?c=155836-27", "View company online")</f>
      </c>
    </row>
    <row r="233">
      <c r="A233" s="9" t="inlineStr">
        <is>
          <t>125909-83</t>
        </is>
      </c>
      <c r="B233" s="10" t="inlineStr">
        <is>
          <t>Wandercraft</t>
        </is>
      </c>
      <c r="C233" s="11" t="inlineStr">
        <is>
          <t/>
        </is>
      </c>
      <c r="D233" s="12" t="inlineStr">
        <is>
          <t/>
        </is>
      </c>
      <c r="E233" s="13" t="inlineStr">
        <is>
          <t>125909-83</t>
        </is>
      </c>
      <c r="F233" s="14" t="inlineStr">
        <is>
          <t>Developer of exoskeletons intended to master the technologies required to design and control autonomous exos capable of human-like walk. The company's exoskeletons use robotic technologies and engages in distribution of motored legs exoskeletons, enabling paraplegics and the myopathic people to get autonomy during daily activity.</t>
        </is>
      </c>
      <c r="G233" s="15" t="inlineStr">
        <is>
          <t>Healthcare</t>
        </is>
      </c>
      <c r="H233" s="16" t="inlineStr">
        <is>
          <t>Healthcare Technology Systems</t>
        </is>
      </c>
      <c r="I233" s="17" t="inlineStr">
        <is>
          <t>Other Healthcare Technology Systems</t>
        </is>
      </c>
      <c r="J233" s="18" t="inlineStr">
        <is>
          <t>Other Healthcare Technology Systems*</t>
        </is>
      </c>
      <c r="K233" s="19" t="inlineStr">
        <is>
          <t>Robotics and Drones</t>
        </is>
      </c>
      <c r="L233" s="20" t="inlineStr">
        <is>
          <t>Venture Capital-Backed</t>
        </is>
      </c>
      <c r="M233" s="21" t="n">
        <v>19.6</v>
      </c>
      <c r="N233" s="22" t="inlineStr">
        <is>
          <t>Clinical Trials - General</t>
        </is>
      </c>
      <c r="O233" s="23" t="inlineStr">
        <is>
          <t>Privately Held (backing)</t>
        </is>
      </c>
      <c r="P233" s="24" t="inlineStr">
        <is>
          <t>Venture Capital</t>
        </is>
      </c>
      <c r="Q233" s="25" t="inlineStr">
        <is>
          <t>www.wandercraft.eu</t>
        </is>
      </c>
      <c r="R233" s="26" t="n">
        <v>30.0</v>
      </c>
      <c r="S233" s="27" t="inlineStr">
        <is>
          <t/>
        </is>
      </c>
      <c r="T233" s="28" t="inlineStr">
        <is>
          <t/>
        </is>
      </c>
      <c r="U233" s="29" t="n">
        <v>2012.0</v>
      </c>
      <c r="V233" s="30" t="inlineStr">
        <is>
          <t/>
        </is>
      </c>
      <c r="W233" s="31" t="inlineStr">
        <is>
          <t/>
        </is>
      </c>
      <c r="X233" s="32" t="inlineStr">
        <is>
          <t/>
        </is>
      </c>
      <c r="Y233" s="33" t="n">
        <v>0.00949</v>
      </c>
      <c r="Z233" s="34" t="inlineStr">
        <is>
          <t/>
        </is>
      </c>
      <c r="AA233" s="35" t="n">
        <v>-0.26561</v>
      </c>
      <c r="AB233" s="36" t="inlineStr">
        <is>
          <t/>
        </is>
      </c>
      <c r="AC233" s="37" t="n">
        <v>-0.81579</v>
      </c>
      <c r="AD233" s="38" t="inlineStr">
        <is>
          <t>FY 2016</t>
        </is>
      </c>
      <c r="AE233" s="39" t="inlineStr">
        <is>
          <t>117020-35P</t>
        </is>
      </c>
      <c r="AF233" s="40" t="inlineStr">
        <is>
          <t>Vincent Blaclard</t>
        </is>
      </c>
      <c r="AG233" s="41" t="inlineStr">
        <is>
          <t>Co-Founder</t>
        </is>
      </c>
      <c r="AH233" s="42" t="inlineStr">
        <is>
          <t/>
        </is>
      </c>
      <c r="AI233" s="43" t="inlineStr">
        <is>
          <t/>
        </is>
      </c>
      <c r="AJ233" s="44" t="inlineStr">
        <is>
          <t>Paris, France</t>
        </is>
      </c>
      <c r="AK233" s="45" t="inlineStr">
        <is>
          <t>114 rue Cardinet</t>
        </is>
      </c>
      <c r="AL233" s="46" t="inlineStr">
        <is>
          <t/>
        </is>
      </c>
      <c r="AM233" s="47" t="inlineStr">
        <is>
          <t>Paris</t>
        </is>
      </c>
      <c r="AN233" s="48" t="inlineStr">
        <is>
          <t/>
        </is>
      </c>
      <c r="AO233" s="49" t="inlineStr">
        <is>
          <t>75017</t>
        </is>
      </c>
      <c r="AP233" s="50" t="inlineStr">
        <is>
          <t>France</t>
        </is>
      </c>
      <c r="AQ233" s="51" t="inlineStr">
        <is>
          <t/>
        </is>
      </c>
      <c r="AR233" s="52" t="inlineStr">
        <is>
          <t/>
        </is>
      </c>
      <c r="AS233" s="53" t="inlineStr">
        <is>
          <t>contact@wandercraft.eu</t>
        </is>
      </c>
      <c r="AT233" s="54" t="inlineStr">
        <is>
          <t>Europe</t>
        </is>
      </c>
      <c r="AU233" s="55" t="inlineStr">
        <is>
          <t>Western Europe</t>
        </is>
      </c>
      <c r="AV233" s="56" t="inlineStr">
        <is>
          <t>The company raised EUR 15 million of Series B venture funding in a round led by Innovation Capital (France) on September 28, 2017. LBO France, Bpifrance, XAnge Private Equity, IdInvest Partners and Cemag Invest also participated in this round. This new equity will be used to obtain the first healthcare approvals, enter the global market of Rehabilitation Centers and develop the exo's personal version.</t>
        </is>
      </c>
      <c r="AW233" s="57" t="inlineStr">
        <is>
          <t>Bpifrance, Cemag Invest, CMG Advisory, ECA Group, Ecole Polytechnique de l'Université d'Orléans, IdInvest Partners, Innovation Capital (France), Kima Ventures, LBO France, XAnge Private Equity</t>
        </is>
      </c>
      <c r="AX233" s="58" t="n">
        <v>10.0</v>
      </c>
      <c r="AY233" s="59" t="inlineStr">
        <is>
          <t/>
        </is>
      </c>
      <c r="AZ233" s="60" t="inlineStr">
        <is>
          <t/>
        </is>
      </c>
      <c r="BA233" s="61" t="inlineStr">
        <is>
          <t/>
        </is>
      </c>
      <c r="BB233" s="62" t="inlineStr">
        <is>
          <t>Bpifrance (www.bpifrance.fr), Cemag Invest (www.cemag-invest.com), ECA Group (www.ecagroup.com), Ecole Polytechnique de l'Université d'Orléans (univ-orleans.fr), IdInvest Partners (www.idinvest.com), Innovation Capital (France) (www.innovationcapital.fr), Kima Ventures (www.kimaventures.com), LBO France (www.lbofrance.com), XAnge Private Equity (www.xange.fr)</t>
        </is>
      </c>
      <c r="BC233" s="63" t="inlineStr">
        <is>
          <t/>
        </is>
      </c>
      <c r="BD233" s="64" t="inlineStr">
        <is>
          <t/>
        </is>
      </c>
      <c r="BE233" s="65" t="inlineStr">
        <is>
          <t/>
        </is>
      </c>
      <c r="BF233" s="66" t="inlineStr">
        <is>
          <t>Anaxago (Lead Manager or Arranger), Chammas &amp; Marcheteau (Legal Advisor)</t>
        </is>
      </c>
      <c r="BG233" s="67" t="inlineStr">
        <is>
          <t/>
        </is>
      </c>
      <c r="BH233" s="68" t="inlineStr">
        <is>
          <t/>
        </is>
      </c>
      <c r="BI233" s="69" t="inlineStr">
        <is>
          <t/>
        </is>
      </c>
      <c r="BJ233" s="70" t="inlineStr">
        <is>
          <t/>
        </is>
      </c>
      <c r="BK233" s="71" t="inlineStr">
        <is>
          <t/>
        </is>
      </c>
      <c r="BL233" s="72" t="inlineStr">
        <is>
          <t>Accelerator/Incubator</t>
        </is>
      </c>
      <c r="BM233" s="73" t="inlineStr">
        <is>
          <t/>
        </is>
      </c>
      <c r="BN233" s="74" t="inlineStr">
        <is>
          <t/>
        </is>
      </c>
      <c r="BO233" s="75" t="inlineStr">
        <is>
          <t>Other</t>
        </is>
      </c>
      <c r="BP233" s="76" t="inlineStr">
        <is>
          <t/>
        </is>
      </c>
      <c r="BQ233" s="77" t="inlineStr">
        <is>
          <t/>
        </is>
      </c>
      <c r="BR233" s="78" t="inlineStr">
        <is>
          <t/>
        </is>
      </c>
      <c r="BS233" s="79" t="inlineStr">
        <is>
          <t>Completed</t>
        </is>
      </c>
      <c r="BT233" s="80" t="n">
        <v>43006.0</v>
      </c>
      <c r="BU233" s="81" t="n">
        <v>15.0</v>
      </c>
      <c r="BV233" s="82" t="inlineStr">
        <is>
          <t>Actual</t>
        </is>
      </c>
      <c r="BW233" s="83" t="inlineStr">
        <is>
          <t/>
        </is>
      </c>
      <c r="BX233" s="84" t="inlineStr">
        <is>
          <t/>
        </is>
      </c>
      <c r="BY233" s="85" t="inlineStr">
        <is>
          <t>Early Stage VC</t>
        </is>
      </c>
      <c r="BZ233" s="86" t="inlineStr">
        <is>
          <t>Series B</t>
        </is>
      </c>
      <c r="CA233" s="87" t="inlineStr">
        <is>
          <t/>
        </is>
      </c>
      <c r="CB233" s="88" t="inlineStr">
        <is>
          <t>Venture Capital</t>
        </is>
      </c>
      <c r="CC233" s="89" t="inlineStr">
        <is>
          <t/>
        </is>
      </c>
      <c r="CD233" s="90" t="inlineStr">
        <is>
          <t/>
        </is>
      </c>
      <c r="CE233" s="91" t="inlineStr">
        <is>
          <t/>
        </is>
      </c>
      <c r="CF233" s="92" t="inlineStr">
        <is>
          <t>Completed</t>
        </is>
      </c>
      <c r="CG233" s="93" t="inlineStr">
        <is>
          <t>1,40%</t>
        </is>
      </c>
      <c r="CH233" s="94" t="inlineStr">
        <is>
          <t>96</t>
        </is>
      </c>
      <c r="CI233" s="95" t="inlineStr">
        <is>
          <t>-0,06%</t>
        </is>
      </c>
      <c r="CJ233" s="96" t="inlineStr">
        <is>
          <t>-4,06%</t>
        </is>
      </c>
      <c r="CK233" s="97" t="inlineStr">
        <is>
          <t>1,73%</t>
        </is>
      </c>
      <c r="CL233" s="98" t="inlineStr">
        <is>
          <t>96</t>
        </is>
      </c>
      <c r="CM233" s="99" t="inlineStr">
        <is>
          <t>1,59%</t>
        </is>
      </c>
      <c r="CN233" s="100" t="inlineStr">
        <is>
          <t>98</t>
        </is>
      </c>
      <c r="CO233" s="101" t="inlineStr">
        <is>
          <t>0,00%</t>
        </is>
      </c>
      <c r="CP233" s="102" t="inlineStr">
        <is>
          <t>37</t>
        </is>
      </c>
      <c r="CQ233" s="103" t="inlineStr">
        <is>
          <t>3,46%</t>
        </is>
      </c>
      <c r="CR233" s="104" t="inlineStr">
        <is>
          <t>97</t>
        </is>
      </c>
      <c r="CS233" s="105" t="inlineStr">
        <is>
          <t>1,21%</t>
        </is>
      </c>
      <c r="CT233" s="106" t="inlineStr">
        <is>
          <t>96</t>
        </is>
      </c>
      <c r="CU233" s="107" t="inlineStr">
        <is>
          <t>1,96%</t>
        </is>
      </c>
      <c r="CV233" s="108" t="inlineStr">
        <is>
          <t>99</t>
        </is>
      </c>
      <c r="CW233" s="109" t="inlineStr">
        <is>
          <t>1,46x</t>
        </is>
      </c>
      <c r="CX233" s="110" t="inlineStr">
        <is>
          <t>58</t>
        </is>
      </c>
      <c r="CY233" s="111" t="inlineStr">
        <is>
          <t>0,00x</t>
        </is>
      </c>
      <c r="CZ233" s="112" t="inlineStr">
        <is>
          <t>-0,33%</t>
        </is>
      </c>
      <c r="DA233" s="113" t="inlineStr">
        <is>
          <t>3,06x</t>
        </is>
      </c>
      <c r="DB233" s="114" t="inlineStr">
        <is>
          <t>74</t>
        </is>
      </c>
      <c r="DC233" s="115" t="inlineStr">
        <is>
          <t>1,22x</t>
        </is>
      </c>
      <c r="DD233" s="116" t="inlineStr">
        <is>
          <t>52</t>
        </is>
      </c>
      <c r="DE233" s="117" t="inlineStr">
        <is>
          <t>1,09x</t>
        </is>
      </c>
      <c r="DF233" s="118" t="inlineStr">
        <is>
          <t>52</t>
        </is>
      </c>
      <c r="DG233" s="119" t="inlineStr">
        <is>
          <t>5,03x</t>
        </is>
      </c>
      <c r="DH233" s="120" t="inlineStr">
        <is>
          <t>79</t>
        </is>
      </c>
      <c r="DI233" s="121" t="inlineStr">
        <is>
          <t>0,91x</t>
        </is>
      </c>
      <c r="DJ233" s="122" t="inlineStr">
        <is>
          <t>49</t>
        </is>
      </c>
      <c r="DK233" s="123" t="inlineStr">
        <is>
          <t>1,52x</t>
        </is>
      </c>
      <c r="DL233" s="124" t="inlineStr">
        <is>
          <t>58</t>
        </is>
      </c>
      <c r="DM233" s="125" t="inlineStr">
        <is>
          <t>402</t>
        </is>
      </c>
      <c r="DN233" s="126" t="inlineStr">
        <is>
          <t>21</t>
        </is>
      </c>
      <c r="DO233" s="127" t="inlineStr">
        <is>
          <t>5,51%</t>
        </is>
      </c>
      <c r="DP233" s="128" t="inlineStr">
        <is>
          <t>724</t>
        </is>
      </c>
      <c r="DQ233" s="129" t="inlineStr">
        <is>
          <t>0</t>
        </is>
      </c>
      <c r="DR233" s="130" t="inlineStr">
        <is>
          <t>0,00%</t>
        </is>
      </c>
      <c r="DS233" s="131" t="inlineStr">
        <is>
          <t>181</t>
        </is>
      </c>
      <c r="DT233" s="132" t="inlineStr">
        <is>
          <t>1</t>
        </is>
      </c>
      <c r="DU233" s="133" t="inlineStr">
        <is>
          <t>0,56%</t>
        </is>
      </c>
      <c r="DV233" s="134" t="inlineStr">
        <is>
          <t>557</t>
        </is>
      </c>
      <c r="DW233" s="135" t="inlineStr">
        <is>
          <t>7</t>
        </is>
      </c>
      <c r="DX233" s="136" t="inlineStr">
        <is>
          <t>1,27%</t>
        </is>
      </c>
      <c r="DY233" s="137" t="inlineStr">
        <is>
          <t>PitchBook Research</t>
        </is>
      </c>
      <c r="DZ233" s="785">
        <f>HYPERLINK("https://my.pitchbook.com?c=125909-83", "View company online")</f>
      </c>
    </row>
    <row r="234">
      <c r="A234" s="139" t="inlineStr">
        <is>
          <t>62194-06</t>
        </is>
      </c>
      <c r="B234" s="140" t="inlineStr">
        <is>
          <t>EclecticIQ</t>
        </is>
      </c>
      <c r="C234" s="141" t="inlineStr">
        <is>
          <t>Intelworks</t>
        </is>
      </c>
      <c r="D234" s="142" t="inlineStr">
        <is>
          <t/>
        </is>
      </c>
      <c r="E234" s="143" t="inlineStr">
        <is>
          <t>62194-06</t>
        </is>
      </c>
      <c r="F234" s="144" t="inlineStr">
        <is>
          <t>Developer of a cyber threat intelligence platform to restore the fight against cyber threat adversaries. The company's cyber threat intelligence platform connects and interprets intelligence data from open sources, commercial suppliers and industry partnerships, enabling enterprises to power their detection, prevention and response efforts with threat reality.</t>
        </is>
      </c>
      <c r="G234" s="145" t="inlineStr">
        <is>
          <t>Information Technology</t>
        </is>
      </c>
      <c r="H234" s="146" t="inlineStr">
        <is>
          <t>Software</t>
        </is>
      </c>
      <c r="I234" s="147" t="inlineStr">
        <is>
          <t>Business/Productivity Software</t>
        </is>
      </c>
      <c r="J234" s="148" t="inlineStr">
        <is>
          <t>Business/Productivity Software*; Network Management Software; Social/Platform Software</t>
        </is>
      </c>
      <c r="K234" s="149" t="inlineStr">
        <is>
          <t>Cybersecurity</t>
        </is>
      </c>
      <c r="L234" s="150" t="inlineStr">
        <is>
          <t>Venture Capital-Backed</t>
        </is>
      </c>
      <c r="M234" s="151" t="n">
        <v>19.69</v>
      </c>
      <c r="N234" s="152" t="inlineStr">
        <is>
          <t>Generating Revenue</t>
        </is>
      </c>
      <c r="O234" s="153" t="inlineStr">
        <is>
          <t>Privately Held (backing)</t>
        </is>
      </c>
      <c r="P234" s="154" t="inlineStr">
        <is>
          <t>Venture Capital</t>
        </is>
      </c>
      <c r="Q234" s="155" t="inlineStr">
        <is>
          <t>www.eclecticiq.com</t>
        </is>
      </c>
      <c r="R234" s="156" t="n">
        <v>60.0</v>
      </c>
      <c r="S234" s="157" t="inlineStr">
        <is>
          <t/>
        </is>
      </c>
      <c r="T234" s="158" t="inlineStr">
        <is>
          <t/>
        </is>
      </c>
      <c r="U234" s="159" t="n">
        <v>2014.0</v>
      </c>
      <c r="V234" s="160" t="inlineStr">
        <is>
          <t/>
        </is>
      </c>
      <c r="W234" s="161" t="inlineStr">
        <is>
          <t/>
        </is>
      </c>
      <c r="X234" s="162" t="inlineStr">
        <is>
          <t/>
        </is>
      </c>
      <c r="Y234" s="163" t="inlineStr">
        <is>
          <t/>
        </is>
      </c>
      <c r="Z234" s="164" t="inlineStr">
        <is>
          <t/>
        </is>
      </c>
      <c r="AA234" s="165" t="inlineStr">
        <is>
          <t/>
        </is>
      </c>
      <c r="AB234" s="166" t="inlineStr">
        <is>
          <t/>
        </is>
      </c>
      <c r="AC234" s="167" t="inlineStr">
        <is>
          <t/>
        </is>
      </c>
      <c r="AD234" s="168" t="inlineStr">
        <is>
          <t/>
        </is>
      </c>
      <c r="AE234" s="169" t="inlineStr">
        <is>
          <t>88664-59P</t>
        </is>
      </c>
      <c r="AF234" s="170" t="inlineStr">
        <is>
          <t>Joep Gommers</t>
        </is>
      </c>
      <c r="AG234" s="171" t="inlineStr">
        <is>
          <t>Co-Founder &amp; Chief Executive Officer</t>
        </is>
      </c>
      <c r="AH234" s="172" t="inlineStr">
        <is>
          <t>joep@intelworks.com</t>
        </is>
      </c>
      <c r="AI234" s="173" t="inlineStr">
        <is>
          <t>+31 (0)61 548 9825</t>
        </is>
      </c>
      <c r="AJ234" s="174" t="inlineStr">
        <is>
          <t>Amsterdam, Netherlands</t>
        </is>
      </c>
      <c r="AK234" s="175" t="inlineStr">
        <is>
          <t>Leidsegracht 105</t>
        </is>
      </c>
      <c r="AL234" s="176" t="inlineStr">
        <is>
          <t/>
        </is>
      </c>
      <c r="AM234" s="177" t="inlineStr">
        <is>
          <t>Amsterdam</t>
        </is>
      </c>
      <c r="AN234" s="178" t="inlineStr">
        <is>
          <t/>
        </is>
      </c>
      <c r="AO234" s="179" t="inlineStr">
        <is>
          <t>1017</t>
        </is>
      </c>
      <c r="AP234" s="180" t="inlineStr">
        <is>
          <t>Netherlands</t>
        </is>
      </c>
      <c r="AQ234" s="181" t="inlineStr">
        <is>
          <t>+31 (0)20 737 1063</t>
        </is>
      </c>
      <c r="AR234" s="182" t="inlineStr">
        <is>
          <t/>
        </is>
      </c>
      <c r="AS234" s="183" t="inlineStr">
        <is>
          <t>info@eclecticiq.com</t>
        </is>
      </c>
      <c r="AT234" s="184" t="inlineStr">
        <is>
          <t>Europe</t>
        </is>
      </c>
      <c r="AU234" s="185" t="inlineStr">
        <is>
          <t>Western Europe</t>
        </is>
      </c>
      <c r="AV234" s="186" t="inlineStr">
        <is>
          <t>The company raised EUR 14 million of Series B venture funding in a deal led by Keen Ventures Partners on November 9, 2017. Other undisclosed investors also participated in the round. The funds will be used to accelerate the expansion of the company's workforce, with a focus on expanding the company's portfolio of technologies and capabilities of its Fusion Center offering. Earlier, the company raised EUR 5.5 million of Series A venture funding from lead investors INKEF Capital, KPN Ventures and Klever Asset Management on May 2, 2016.</t>
        </is>
      </c>
      <c r="AW234" s="187" t="inlineStr">
        <is>
          <t>INKEF Capital, Keen Venture Partners, Klever Asset Management, KPN Ventures</t>
        </is>
      </c>
      <c r="AX234" s="188" t="n">
        <v>4.0</v>
      </c>
      <c r="AY234" s="189" t="inlineStr">
        <is>
          <t/>
        </is>
      </c>
      <c r="AZ234" s="190" t="inlineStr">
        <is>
          <t/>
        </is>
      </c>
      <c r="BA234" s="191" t="inlineStr">
        <is>
          <t/>
        </is>
      </c>
      <c r="BB234" s="192" t="inlineStr">
        <is>
          <t>INKEF Capital (www.inkefcapital.com), Keen Venture Partners (www.keenventurepartners.com), KPN Ventures (www.kpnventures.com)</t>
        </is>
      </c>
      <c r="BC234" s="193" t="inlineStr">
        <is>
          <t/>
        </is>
      </c>
      <c r="BD234" s="194" t="inlineStr">
        <is>
          <t/>
        </is>
      </c>
      <c r="BE234" s="195" t="inlineStr">
        <is>
          <t/>
        </is>
      </c>
      <c r="BF234" s="196" t="inlineStr">
        <is>
          <t/>
        </is>
      </c>
      <c r="BG234" s="197" t="n">
        <v>41940.0</v>
      </c>
      <c r="BH234" s="198" t="n">
        <v>0.19</v>
      </c>
      <c r="BI234" s="199" t="inlineStr">
        <is>
          <t>Actual</t>
        </is>
      </c>
      <c r="BJ234" s="200" t="inlineStr">
        <is>
          <t/>
        </is>
      </c>
      <c r="BK234" s="201" t="inlineStr">
        <is>
          <t/>
        </is>
      </c>
      <c r="BL234" s="202" t="inlineStr">
        <is>
          <t>Seed Round</t>
        </is>
      </c>
      <c r="BM234" s="203" t="inlineStr">
        <is>
          <t>Seed</t>
        </is>
      </c>
      <c r="BN234" s="204" t="inlineStr">
        <is>
          <t/>
        </is>
      </c>
      <c r="BO234" s="205" t="inlineStr">
        <is>
          <t>Venture Capital</t>
        </is>
      </c>
      <c r="BP234" s="206" t="inlineStr">
        <is>
          <t/>
        </is>
      </c>
      <c r="BQ234" s="207" t="inlineStr">
        <is>
          <t/>
        </is>
      </c>
      <c r="BR234" s="208" t="inlineStr">
        <is>
          <t/>
        </is>
      </c>
      <c r="BS234" s="209" t="inlineStr">
        <is>
          <t>Completed</t>
        </is>
      </c>
      <c r="BT234" s="210" t="n">
        <v>43048.0</v>
      </c>
      <c r="BU234" s="211" t="n">
        <v>14.0</v>
      </c>
      <c r="BV234" s="212" t="inlineStr">
        <is>
          <t>Actual</t>
        </is>
      </c>
      <c r="BW234" s="213" t="inlineStr">
        <is>
          <t/>
        </is>
      </c>
      <c r="BX234" s="214" t="inlineStr">
        <is>
          <t/>
        </is>
      </c>
      <c r="BY234" s="215" t="inlineStr">
        <is>
          <t>Early Stage VC</t>
        </is>
      </c>
      <c r="BZ234" s="216" t="inlineStr">
        <is>
          <t>Series B</t>
        </is>
      </c>
      <c r="CA234" s="217" t="inlineStr">
        <is>
          <t/>
        </is>
      </c>
      <c r="CB234" s="218" t="inlineStr">
        <is>
          <t>Venture Capital</t>
        </is>
      </c>
      <c r="CC234" s="219" t="inlineStr">
        <is>
          <t/>
        </is>
      </c>
      <c r="CD234" s="220" t="inlineStr">
        <is>
          <t/>
        </is>
      </c>
      <c r="CE234" s="221" t="inlineStr">
        <is>
          <t/>
        </is>
      </c>
      <c r="CF234" s="222" t="inlineStr">
        <is>
          <t>Completed</t>
        </is>
      </c>
      <c r="CG234" s="223" t="inlineStr">
        <is>
          <t>-1,10%</t>
        </is>
      </c>
      <c r="CH234" s="224" t="inlineStr">
        <is>
          <t>14</t>
        </is>
      </c>
      <c r="CI234" s="225" t="inlineStr">
        <is>
          <t>0,10%</t>
        </is>
      </c>
      <c r="CJ234" s="226" t="inlineStr">
        <is>
          <t>8,02%</t>
        </is>
      </c>
      <c r="CK234" s="227" t="inlineStr">
        <is>
          <t>-5,40%</t>
        </is>
      </c>
      <c r="CL234" s="228" t="inlineStr">
        <is>
          <t>7</t>
        </is>
      </c>
      <c r="CM234" s="229" t="inlineStr">
        <is>
          <t>1,23%</t>
        </is>
      </c>
      <c r="CN234" s="230" t="inlineStr">
        <is>
          <t>97</t>
        </is>
      </c>
      <c r="CO234" s="231" t="inlineStr">
        <is>
          <t>-11,67%</t>
        </is>
      </c>
      <c r="CP234" s="232" t="inlineStr">
        <is>
          <t>11</t>
        </is>
      </c>
      <c r="CQ234" s="233" t="inlineStr">
        <is>
          <t>0,87%</t>
        </is>
      </c>
      <c r="CR234" s="234" t="inlineStr">
        <is>
          <t>93</t>
        </is>
      </c>
      <c r="CS234" s="235" t="inlineStr">
        <is>
          <t>2,00%</t>
        </is>
      </c>
      <c r="CT234" s="236" t="inlineStr">
        <is>
          <t>98</t>
        </is>
      </c>
      <c r="CU234" s="237" t="inlineStr">
        <is>
          <t>0,46%</t>
        </is>
      </c>
      <c r="CV234" s="238" t="inlineStr">
        <is>
          <t>90</t>
        </is>
      </c>
      <c r="CW234" s="239" t="inlineStr">
        <is>
          <t>2,61x</t>
        </is>
      </c>
      <c r="CX234" s="240" t="inlineStr">
        <is>
          <t>70</t>
        </is>
      </c>
      <c r="CY234" s="241" t="inlineStr">
        <is>
          <t>0,01x</t>
        </is>
      </c>
      <c r="CZ234" s="242" t="inlineStr">
        <is>
          <t>0,26%</t>
        </is>
      </c>
      <c r="DA234" s="243" t="inlineStr">
        <is>
          <t>5,22x</t>
        </is>
      </c>
      <c r="DB234" s="244" t="inlineStr">
        <is>
          <t>82</t>
        </is>
      </c>
      <c r="DC234" s="245" t="inlineStr">
        <is>
          <t>2,39x</t>
        </is>
      </c>
      <c r="DD234" s="246" t="inlineStr">
        <is>
          <t>65</t>
        </is>
      </c>
      <c r="DE234" s="247" t="inlineStr">
        <is>
          <t>2,50x</t>
        </is>
      </c>
      <c r="DF234" s="248" t="inlineStr">
        <is>
          <t>70</t>
        </is>
      </c>
      <c r="DG234" s="249" t="inlineStr">
        <is>
          <t>7,94x</t>
        </is>
      </c>
      <c r="DH234" s="250" t="inlineStr">
        <is>
          <t>84</t>
        </is>
      </c>
      <c r="DI234" s="251" t="inlineStr">
        <is>
          <t>0,27x</t>
        </is>
      </c>
      <c r="DJ234" s="252" t="inlineStr">
        <is>
          <t>28</t>
        </is>
      </c>
      <c r="DK234" s="253" t="inlineStr">
        <is>
          <t>4,52x</t>
        </is>
      </c>
      <c r="DL234" s="254" t="inlineStr">
        <is>
          <t>78</t>
        </is>
      </c>
      <c r="DM234" s="255" t="inlineStr">
        <is>
          <t>904</t>
        </is>
      </c>
      <c r="DN234" s="256" t="inlineStr">
        <is>
          <t>111</t>
        </is>
      </c>
      <c r="DO234" s="257" t="inlineStr">
        <is>
          <t>14,00%</t>
        </is>
      </c>
      <c r="DP234" s="258" t="inlineStr">
        <is>
          <t>205</t>
        </is>
      </c>
      <c r="DQ234" s="259" t="inlineStr">
        <is>
          <t>6</t>
        </is>
      </c>
      <c r="DR234" s="260" t="inlineStr">
        <is>
          <t>3,02%</t>
        </is>
      </c>
      <c r="DS234" s="261" t="inlineStr">
        <is>
          <t>285</t>
        </is>
      </c>
      <c r="DT234" s="262" t="inlineStr">
        <is>
          <t>3</t>
        </is>
      </c>
      <c r="DU234" s="263" t="inlineStr">
        <is>
          <t>1,06%</t>
        </is>
      </c>
      <c r="DV234" s="264" t="inlineStr">
        <is>
          <t>1.687</t>
        </is>
      </c>
      <c r="DW234" s="265" t="inlineStr">
        <is>
          <t>9</t>
        </is>
      </c>
      <c r="DX234" s="266" t="inlineStr">
        <is>
          <t>0,54%</t>
        </is>
      </c>
      <c r="DY234" s="267" t="inlineStr">
        <is>
          <t>PitchBook Research</t>
        </is>
      </c>
      <c r="DZ234" s="786">
        <f>HYPERLINK("https://my.pitchbook.com?c=62194-06", "View company online")</f>
      </c>
    </row>
    <row r="235">
      <c r="A235" s="9" t="inlineStr">
        <is>
          <t>103922-29</t>
        </is>
      </c>
      <c r="B235" s="10" t="inlineStr">
        <is>
          <t>Behavox</t>
        </is>
      </c>
      <c r="C235" s="11" t="inlineStr">
        <is>
          <t>Invictus Labs</t>
        </is>
      </c>
      <c r="D235" s="12" t="inlineStr">
        <is>
          <t/>
        </is>
      </c>
      <c r="E235" s="13" t="inlineStr">
        <is>
          <t>103922-29</t>
        </is>
      </c>
      <c r="F235" s="14" t="inlineStr">
        <is>
          <t>Provider of a people analytics platform designed to help companies search and interrogate huge amounts of employee-generated data in real-time. The company's platform generates previously unidentifiable insights into all aspects of business operations, strengthening compliance, culture and competitiveness and delivers real-time integration of complex and diverse data sources, enabling companies to detect cases of market abuse, fraud, collusion, sensitive and reckless behavior early and conduct investigations faster.</t>
        </is>
      </c>
      <c r="G235" s="15" t="inlineStr">
        <is>
          <t>Information Technology</t>
        </is>
      </c>
      <c r="H235" s="16" t="inlineStr">
        <is>
          <t>Software</t>
        </is>
      </c>
      <c r="I235" s="17" t="inlineStr">
        <is>
          <t>Business/Productivity Software</t>
        </is>
      </c>
      <c r="J235" s="18" t="inlineStr">
        <is>
          <t>Business/Productivity Software*</t>
        </is>
      </c>
      <c r="K235" s="19" t="inlineStr">
        <is>
          <t>Artificial Intelligence &amp; Machine Learning, Big Data, Cybersecurity, SaaS</t>
        </is>
      </c>
      <c r="L235" s="20" t="inlineStr">
        <is>
          <t>Venture Capital-Backed</t>
        </is>
      </c>
      <c r="M235" s="21" t="n">
        <v>21.06</v>
      </c>
      <c r="N235" s="22" t="inlineStr">
        <is>
          <t>Generating Revenue</t>
        </is>
      </c>
      <c r="O235" s="23" t="inlineStr">
        <is>
          <t>Privately Held (backing)</t>
        </is>
      </c>
      <c r="P235" s="24" t="inlineStr">
        <is>
          <t>Venture Capital</t>
        </is>
      </c>
      <c r="Q235" s="25" t="inlineStr">
        <is>
          <t>www.behavox.com</t>
        </is>
      </c>
      <c r="R235" s="26" t="n">
        <v>25.0</v>
      </c>
      <c r="S235" s="27" t="inlineStr">
        <is>
          <t/>
        </is>
      </c>
      <c r="T235" s="28" t="inlineStr">
        <is>
          <t/>
        </is>
      </c>
      <c r="U235" s="29" t="n">
        <v>2014.0</v>
      </c>
      <c r="V235" s="30" t="inlineStr">
        <is>
          <t/>
        </is>
      </c>
      <c r="W235" s="31" t="inlineStr">
        <is>
          <t/>
        </is>
      </c>
      <c r="X235" s="32" t="inlineStr">
        <is>
          <t/>
        </is>
      </c>
      <c r="Y235" s="33" t="inlineStr">
        <is>
          <t/>
        </is>
      </c>
      <c r="Z235" s="34" t="inlineStr">
        <is>
          <t/>
        </is>
      </c>
      <c r="AA235" s="35" t="inlineStr">
        <is>
          <t/>
        </is>
      </c>
      <c r="AB235" s="36" t="inlineStr">
        <is>
          <t/>
        </is>
      </c>
      <c r="AC235" s="37" t="inlineStr">
        <is>
          <t/>
        </is>
      </c>
      <c r="AD235" s="38" t="inlineStr">
        <is>
          <t/>
        </is>
      </c>
      <c r="AE235" s="39" t="inlineStr">
        <is>
          <t>113764-24P</t>
        </is>
      </c>
      <c r="AF235" s="40" t="inlineStr">
        <is>
          <t>Erkin Adylov</t>
        </is>
      </c>
      <c r="AG235" s="41" t="inlineStr">
        <is>
          <t>Co-Founder, Board Member &amp; Chief Executive Officer</t>
        </is>
      </c>
      <c r="AH235" s="42" t="inlineStr">
        <is>
          <t>e.adylov@behavox.com</t>
        </is>
      </c>
      <c r="AI235" s="43" t="inlineStr">
        <is>
          <t>+44 (0)77 6062 4781</t>
        </is>
      </c>
      <c r="AJ235" s="44" t="inlineStr">
        <is>
          <t>London, United Kingdom</t>
        </is>
      </c>
      <c r="AK235" s="45" t="inlineStr">
        <is>
          <t>68 South Lambeth Road</t>
        </is>
      </c>
      <c r="AL235" s="46" t="inlineStr">
        <is>
          <t/>
        </is>
      </c>
      <c r="AM235" s="47" t="inlineStr">
        <is>
          <t>London</t>
        </is>
      </c>
      <c r="AN235" s="48" t="inlineStr">
        <is>
          <t>England</t>
        </is>
      </c>
      <c r="AO235" s="49" t="inlineStr">
        <is>
          <t>E14 5AB</t>
        </is>
      </c>
      <c r="AP235" s="50" t="inlineStr">
        <is>
          <t>United Kingdom</t>
        </is>
      </c>
      <c r="AQ235" s="51" t="inlineStr">
        <is>
          <t>+44 (0)20 3761 6158</t>
        </is>
      </c>
      <c r="AR235" s="52" t="inlineStr">
        <is>
          <t/>
        </is>
      </c>
      <c r="AS235" s="53" t="inlineStr">
        <is>
          <t>info@behavox.com</t>
        </is>
      </c>
      <c r="AT235" s="54" t="inlineStr">
        <is>
          <t>Europe</t>
        </is>
      </c>
      <c r="AU235" s="55" t="inlineStr">
        <is>
          <t>Western Europe</t>
        </is>
      </c>
      <c r="AV235" s="56" t="inlineStr">
        <is>
          <t>The company raised $20 million of venture funding in a deal led by Citigroup on November 14, 2017, valuing the company at $200 million. Index Ventures and other undisclosed investors also participated in the round.</t>
        </is>
      </c>
      <c r="AW235" s="57" t="inlineStr">
        <is>
          <t>Alphabet, Chris Hugg, Christopher Pilling, Citigroup, Hoxton Ventures, Index Ventures (UK), Level39, Oliver Benkert, Paul Christensen, Promus Ventures, Stephen Holliday</t>
        </is>
      </c>
      <c r="AX235" s="58" t="n">
        <v>11.0</v>
      </c>
      <c r="AY235" s="59" t="inlineStr">
        <is>
          <t/>
        </is>
      </c>
      <c r="AZ235" s="60" t="inlineStr">
        <is>
          <t/>
        </is>
      </c>
      <c r="BA235" s="61" t="inlineStr">
        <is>
          <t/>
        </is>
      </c>
      <c r="BB235" s="62" t="inlineStr">
        <is>
          <t>Alphabet (www.google.com), Citigroup (www.citigroup.com), Hoxton Ventures (www.hoxtonventures.com), Index Ventures (UK) (www.indexventures.com), Level39 (www.level39.co), Promus Ventures (www.promusventures.com)</t>
        </is>
      </c>
      <c r="BC235" s="63" t="inlineStr">
        <is>
          <t/>
        </is>
      </c>
      <c r="BD235" s="64" t="inlineStr">
        <is>
          <t/>
        </is>
      </c>
      <c r="BE235" s="65" t="inlineStr">
        <is>
          <t/>
        </is>
      </c>
      <c r="BF235" s="66" t="inlineStr">
        <is>
          <t/>
        </is>
      </c>
      <c r="BG235" s="67" t="inlineStr">
        <is>
          <t/>
        </is>
      </c>
      <c r="BH235" s="68" t="inlineStr">
        <is>
          <t/>
        </is>
      </c>
      <c r="BI235" s="69" t="inlineStr">
        <is>
          <t/>
        </is>
      </c>
      <c r="BJ235" s="70" t="inlineStr">
        <is>
          <t/>
        </is>
      </c>
      <c r="BK235" s="71" t="inlineStr">
        <is>
          <t/>
        </is>
      </c>
      <c r="BL235" s="72" t="inlineStr">
        <is>
          <t>Accelerator/Incubator</t>
        </is>
      </c>
      <c r="BM235" s="73" t="inlineStr">
        <is>
          <t/>
        </is>
      </c>
      <c r="BN235" s="74" t="inlineStr">
        <is>
          <t/>
        </is>
      </c>
      <c r="BO235" s="75" t="inlineStr">
        <is>
          <t>Other</t>
        </is>
      </c>
      <c r="BP235" s="76" t="inlineStr">
        <is>
          <t/>
        </is>
      </c>
      <c r="BQ235" s="77" t="inlineStr">
        <is>
          <t/>
        </is>
      </c>
      <c r="BR235" s="78" t="inlineStr">
        <is>
          <t/>
        </is>
      </c>
      <c r="BS235" s="79" t="inlineStr">
        <is>
          <t>Completed</t>
        </is>
      </c>
      <c r="BT235" s="80" t="n">
        <v>43053.0</v>
      </c>
      <c r="BU235" s="81" t="n">
        <v>17.01</v>
      </c>
      <c r="BV235" s="82" t="inlineStr">
        <is>
          <t>Actual</t>
        </is>
      </c>
      <c r="BW235" s="83" t="n">
        <v>170.09</v>
      </c>
      <c r="BX235" s="84" t="inlineStr">
        <is>
          <t>Actual</t>
        </is>
      </c>
      <c r="BY235" s="85" t="inlineStr">
        <is>
          <t>Early Stage VC</t>
        </is>
      </c>
      <c r="BZ235" s="86" t="inlineStr">
        <is>
          <t/>
        </is>
      </c>
      <c r="CA235" s="87" t="inlineStr">
        <is>
          <t/>
        </is>
      </c>
      <c r="CB235" s="88" t="inlineStr">
        <is>
          <t>Venture Capital</t>
        </is>
      </c>
      <c r="CC235" s="89" t="inlineStr">
        <is>
          <t/>
        </is>
      </c>
      <c r="CD235" s="90" t="inlineStr">
        <is>
          <t/>
        </is>
      </c>
      <c r="CE235" s="91" t="inlineStr">
        <is>
          <t/>
        </is>
      </c>
      <c r="CF235" s="92" t="inlineStr">
        <is>
          <t>Completed</t>
        </is>
      </c>
      <c r="CG235" s="93" t="inlineStr">
        <is>
          <t>0,23%</t>
        </is>
      </c>
      <c r="CH235" s="94" t="inlineStr">
        <is>
          <t>87</t>
        </is>
      </c>
      <c r="CI235" s="95" t="inlineStr">
        <is>
          <t>0,13%</t>
        </is>
      </c>
      <c r="CJ235" s="96" t="inlineStr">
        <is>
          <t>127,15%</t>
        </is>
      </c>
      <c r="CK235" s="97" t="inlineStr">
        <is>
          <t>0,00%</t>
        </is>
      </c>
      <c r="CL235" s="98" t="inlineStr">
        <is>
          <t>28</t>
        </is>
      </c>
      <c r="CM235" s="99" t="inlineStr">
        <is>
          <t>0,46%</t>
        </is>
      </c>
      <c r="CN235" s="100" t="inlineStr">
        <is>
          <t>88</t>
        </is>
      </c>
      <c r="CO235" s="101" t="inlineStr">
        <is>
          <t>0,00%</t>
        </is>
      </c>
      <c r="CP235" s="102" t="inlineStr">
        <is>
          <t>37</t>
        </is>
      </c>
      <c r="CQ235" s="103" t="inlineStr">
        <is>
          <t>0,00%</t>
        </is>
      </c>
      <c r="CR235" s="104" t="inlineStr">
        <is>
          <t>20</t>
        </is>
      </c>
      <c r="CS235" s="105" t="inlineStr">
        <is>
          <t>0,00%</t>
        </is>
      </c>
      <c r="CT235" s="106" t="inlineStr">
        <is>
          <t>18</t>
        </is>
      </c>
      <c r="CU235" s="107" t="inlineStr">
        <is>
          <t>0,92%</t>
        </is>
      </c>
      <c r="CV235" s="108" t="inlineStr">
        <is>
          <t>96</t>
        </is>
      </c>
      <c r="CW235" s="109" t="inlineStr">
        <is>
          <t>0,94x</t>
        </is>
      </c>
      <c r="CX235" s="110" t="inlineStr">
        <is>
          <t>47</t>
        </is>
      </c>
      <c r="CY235" s="111" t="inlineStr">
        <is>
          <t>0,02x</t>
        </is>
      </c>
      <c r="CZ235" s="112" t="inlineStr">
        <is>
          <t>2,05%</t>
        </is>
      </c>
      <c r="DA235" s="113" t="inlineStr">
        <is>
          <t>1,26x</t>
        </is>
      </c>
      <c r="DB235" s="114" t="inlineStr">
        <is>
          <t>57</t>
        </is>
      </c>
      <c r="DC235" s="115" t="inlineStr">
        <is>
          <t>0,63x</t>
        </is>
      </c>
      <c r="DD235" s="116" t="inlineStr">
        <is>
          <t>40</t>
        </is>
      </c>
      <c r="DE235" s="117" t="inlineStr">
        <is>
          <t>1,01x</t>
        </is>
      </c>
      <c r="DF235" s="118" t="inlineStr">
        <is>
          <t>51</t>
        </is>
      </c>
      <c r="DG235" s="119" t="inlineStr">
        <is>
          <t>1,50x</t>
        </is>
      </c>
      <c r="DH235" s="120" t="inlineStr">
        <is>
          <t>59</t>
        </is>
      </c>
      <c r="DI235" s="121" t="inlineStr">
        <is>
          <t>0,10x</t>
        </is>
      </c>
      <c r="DJ235" s="122" t="inlineStr">
        <is>
          <t>14</t>
        </is>
      </c>
      <c r="DK235" s="123" t="inlineStr">
        <is>
          <t>1,16x</t>
        </is>
      </c>
      <c r="DL235" s="124" t="inlineStr">
        <is>
          <t>53</t>
        </is>
      </c>
      <c r="DM235" s="125" t="inlineStr">
        <is>
          <t>368</t>
        </is>
      </c>
      <c r="DN235" s="126" t="inlineStr">
        <is>
          <t>32</t>
        </is>
      </c>
      <c r="DO235" s="127" t="inlineStr">
        <is>
          <t>9,52%</t>
        </is>
      </c>
      <c r="DP235" s="128" t="inlineStr">
        <is>
          <t>74</t>
        </is>
      </c>
      <c r="DQ235" s="129" t="inlineStr">
        <is>
          <t>7</t>
        </is>
      </c>
      <c r="DR235" s="130" t="inlineStr">
        <is>
          <t>10,45%</t>
        </is>
      </c>
      <c r="DS235" s="131" t="inlineStr">
        <is>
          <t>53</t>
        </is>
      </c>
      <c r="DT235" s="132" t="inlineStr">
        <is>
          <t>1</t>
        </is>
      </c>
      <c r="DU235" s="133" t="inlineStr">
        <is>
          <t>1,92%</t>
        </is>
      </c>
      <c r="DV235" s="134" t="inlineStr">
        <is>
          <t>431</t>
        </is>
      </c>
      <c r="DW235" s="135" t="inlineStr">
        <is>
          <t>17</t>
        </is>
      </c>
      <c r="DX235" s="136" t="inlineStr">
        <is>
          <t>4,11%</t>
        </is>
      </c>
      <c r="DY235" s="137" t="inlineStr">
        <is>
          <t>PitchBook Research</t>
        </is>
      </c>
      <c r="DZ235" s="785">
        <f>HYPERLINK("https://my.pitchbook.com?c=103922-29", "View company online")</f>
      </c>
    </row>
    <row r="236">
      <c r="A236" s="139" t="inlineStr">
        <is>
          <t>108577-54</t>
        </is>
      </c>
      <c r="B236" s="140" t="inlineStr">
        <is>
          <t>Acast</t>
        </is>
      </c>
      <c r="C236" s="141" t="inlineStr">
        <is>
          <t/>
        </is>
      </c>
      <c r="D236" s="142" t="inlineStr">
        <is>
          <t/>
        </is>
      </c>
      <c r="E236" s="143" t="inlineStr">
        <is>
          <t>108577-54</t>
        </is>
      </c>
      <c r="F236" s="144" t="inlineStr">
        <is>
          <t>Provider of a curated mobile platform designed to facilitate on-demand audio and podcasts. The company's curated platform provides a multidimensional and social application for audio on-demand and podcasts, connecting listeners, podcast creators and advertisers in a fully integrated, one-stop shop, enabling users to discover podcasts through friends and recommendations and experience them.</t>
        </is>
      </c>
      <c r="G236" s="145" t="inlineStr">
        <is>
          <t>Information Technology</t>
        </is>
      </c>
      <c r="H236" s="146" t="inlineStr">
        <is>
          <t>Software</t>
        </is>
      </c>
      <c r="I236" s="147" t="inlineStr">
        <is>
          <t>Entertainment Software</t>
        </is>
      </c>
      <c r="J236" s="148" t="inlineStr">
        <is>
          <t>Entertainment Software*; Application Software; Social/Platform Software</t>
        </is>
      </c>
      <c r="K236" s="149" t="inlineStr">
        <is>
          <t>Mobile</t>
        </is>
      </c>
      <c r="L236" s="150" t="inlineStr">
        <is>
          <t>Venture Capital-Backed</t>
        </is>
      </c>
      <c r="M236" s="151" t="n">
        <v>23.94</v>
      </c>
      <c r="N236" s="152" t="inlineStr">
        <is>
          <t>Generating Revenue</t>
        </is>
      </c>
      <c r="O236" s="153" t="inlineStr">
        <is>
          <t>Privately Held (backing)</t>
        </is>
      </c>
      <c r="P236" s="154" t="inlineStr">
        <is>
          <t>Venture Capital</t>
        </is>
      </c>
      <c r="Q236" s="155" t="inlineStr">
        <is>
          <t>www.acast.com</t>
        </is>
      </c>
      <c r="R236" s="156" t="n">
        <v>39.0</v>
      </c>
      <c r="S236" s="157" t="inlineStr">
        <is>
          <t/>
        </is>
      </c>
      <c r="T236" s="158" t="inlineStr">
        <is>
          <t/>
        </is>
      </c>
      <c r="U236" s="159" t="n">
        <v>2013.0</v>
      </c>
      <c r="V236" s="160" t="inlineStr">
        <is>
          <t/>
        </is>
      </c>
      <c r="W236" s="161" t="inlineStr">
        <is>
          <t/>
        </is>
      </c>
      <c r="X236" s="162" t="inlineStr">
        <is>
          <t/>
        </is>
      </c>
      <c r="Y236" s="163" t="n">
        <v>5.57771</v>
      </c>
      <c r="Z236" s="164" t="inlineStr">
        <is>
          <t/>
        </is>
      </c>
      <c r="AA236" s="165" t="n">
        <v>-5.82434</v>
      </c>
      <c r="AB236" s="166" t="inlineStr">
        <is>
          <t/>
        </is>
      </c>
      <c r="AC236" s="167" t="n">
        <v>-5.80537</v>
      </c>
      <c r="AD236" s="168" t="inlineStr">
        <is>
          <t>FY 2016</t>
        </is>
      </c>
      <c r="AE236" s="169" t="inlineStr">
        <is>
          <t>96801-94P</t>
        </is>
      </c>
      <c r="AF236" s="170" t="inlineStr">
        <is>
          <t>Måns Ulvestam</t>
        </is>
      </c>
      <c r="AG236" s="171" t="inlineStr">
        <is>
          <t>Co-Founder &amp; Chief Executive Officer</t>
        </is>
      </c>
      <c r="AH236" s="172" t="inlineStr">
        <is>
          <t>mans@acast.com</t>
        </is>
      </c>
      <c r="AI236" s="173" t="inlineStr">
        <is>
          <t/>
        </is>
      </c>
      <c r="AJ236" s="174" t="inlineStr">
        <is>
          <t>Stockholm, Sweden</t>
        </is>
      </c>
      <c r="AK236" s="175" t="inlineStr">
        <is>
          <t>Kungsgatan 12</t>
        </is>
      </c>
      <c r="AL236" s="176" t="inlineStr">
        <is>
          <t/>
        </is>
      </c>
      <c r="AM236" s="177" t="inlineStr">
        <is>
          <t>Stockholm</t>
        </is>
      </c>
      <c r="AN236" s="178" t="inlineStr">
        <is>
          <t/>
        </is>
      </c>
      <c r="AO236" s="179" t="inlineStr">
        <is>
          <t>111 35</t>
        </is>
      </c>
      <c r="AP236" s="180" t="inlineStr">
        <is>
          <t>Sweden</t>
        </is>
      </c>
      <c r="AQ236" s="181" t="inlineStr">
        <is>
          <t/>
        </is>
      </c>
      <c r="AR236" s="182" t="inlineStr">
        <is>
          <t/>
        </is>
      </c>
      <c r="AS236" s="183" t="inlineStr">
        <is>
          <t>hello@acast.com</t>
        </is>
      </c>
      <c r="AT236" s="184" t="inlineStr">
        <is>
          <t>Europe</t>
        </is>
      </c>
      <c r="AU236" s="185" t="inlineStr">
        <is>
          <t>Northern Europe</t>
        </is>
      </c>
      <c r="AV236" s="186" t="inlineStr">
        <is>
          <t>The company raised $19.5 million of Series B venture funding in a deal led by Swedbank Robur and Norron Asset Management on September 20, 2017. Bonnier Growth Media, MOOR Capital, Inbox Capital, Alfvén &amp; Didrikson and Communications Network International also participated in the round. The company will use the funds to accelerate the growth of the US market and expand into new international markets. Previously, the company received EUR 2.22 million of grant funding from Horizon 2020 on July 3, 2017. Prior to that, the company raised EUR 3.1 million of venture funding from Bonnier Growth Media and MOOR Capital on May 4, 2017, putting the company's pre-money valuation at EUR 26.9 million.</t>
        </is>
      </c>
      <c r="AW236" s="187" t="inlineStr">
        <is>
          <t>Alfven &amp; Didrikson, Bonnier Growth Media, Communications Network International, Horizon 2020, Inbox Capital, MOOR Capital, Norron Asset Management, Swedbank Robur</t>
        </is>
      </c>
      <c r="AX236" s="188" t="n">
        <v>8.0</v>
      </c>
      <c r="AY236" s="189" t="inlineStr">
        <is>
          <t/>
        </is>
      </c>
      <c r="AZ236" s="190" t="inlineStr">
        <is>
          <t/>
        </is>
      </c>
      <c r="BA236" s="191" t="inlineStr">
        <is>
          <t/>
        </is>
      </c>
      <c r="BB236" s="192" t="inlineStr">
        <is>
          <t>Alfven &amp; Didrikson (www.alfvendidrikson.com), Bonnier Growth Media (www.bonniergrowthmedia.com), MOOR Capital (www.moorcap.com), Swedbank Robur (www.swedbankrobur.se)</t>
        </is>
      </c>
      <c r="BC236" s="193" t="inlineStr">
        <is>
          <t/>
        </is>
      </c>
      <c r="BD236" s="194" t="inlineStr">
        <is>
          <t/>
        </is>
      </c>
      <c r="BE236" s="195" t="inlineStr">
        <is>
          <t/>
        </is>
      </c>
      <c r="BF236" s="196" t="inlineStr">
        <is>
          <t/>
        </is>
      </c>
      <c r="BG236" s="197" t="n">
        <v>41680.0</v>
      </c>
      <c r="BH236" s="198" t="inlineStr">
        <is>
          <t/>
        </is>
      </c>
      <c r="BI236" s="199" t="inlineStr">
        <is>
          <t/>
        </is>
      </c>
      <c r="BJ236" s="200" t="inlineStr">
        <is>
          <t/>
        </is>
      </c>
      <c r="BK236" s="201" t="inlineStr">
        <is>
          <t/>
        </is>
      </c>
      <c r="BL236" s="202" t="inlineStr">
        <is>
          <t>Seed Round</t>
        </is>
      </c>
      <c r="BM236" s="203" t="inlineStr">
        <is>
          <t>Seed</t>
        </is>
      </c>
      <c r="BN236" s="204" t="inlineStr">
        <is>
          <t/>
        </is>
      </c>
      <c r="BO236" s="205" t="inlineStr">
        <is>
          <t>Other</t>
        </is>
      </c>
      <c r="BP236" s="206" t="inlineStr">
        <is>
          <t/>
        </is>
      </c>
      <c r="BQ236" s="207" t="inlineStr">
        <is>
          <t/>
        </is>
      </c>
      <c r="BR236" s="208" t="inlineStr">
        <is>
          <t/>
        </is>
      </c>
      <c r="BS236" s="209" t="inlineStr">
        <is>
          <t>Completed</t>
        </is>
      </c>
      <c r="BT236" s="210" t="n">
        <v>42998.0</v>
      </c>
      <c r="BU236" s="211" t="n">
        <v>16.36</v>
      </c>
      <c r="BV236" s="212" t="inlineStr">
        <is>
          <t>Actual</t>
        </is>
      </c>
      <c r="BW236" s="213" t="inlineStr">
        <is>
          <t/>
        </is>
      </c>
      <c r="BX236" s="214" t="inlineStr">
        <is>
          <t/>
        </is>
      </c>
      <c r="BY236" s="215" t="inlineStr">
        <is>
          <t>Early Stage VC</t>
        </is>
      </c>
      <c r="BZ236" s="216" t="inlineStr">
        <is>
          <t>Series B</t>
        </is>
      </c>
      <c r="CA236" s="217" t="inlineStr">
        <is>
          <t/>
        </is>
      </c>
      <c r="CB236" s="218" t="inlineStr">
        <is>
          <t>Venture Capital</t>
        </is>
      </c>
      <c r="CC236" s="219" t="inlineStr">
        <is>
          <t/>
        </is>
      </c>
      <c r="CD236" s="220" t="inlineStr">
        <is>
          <t/>
        </is>
      </c>
      <c r="CE236" s="221" t="inlineStr">
        <is>
          <t/>
        </is>
      </c>
      <c r="CF236" s="222" t="inlineStr">
        <is>
          <t>Completed</t>
        </is>
      </c>
      <c r="CG236" s="223" t="inlineStr">
        <is>
          <t>2,44%</t>
        </is>
      </c>
      <c r="CH236" s="224" t="inlineStr">
        <is>
          <t>98</t>
        </is>
      </c>
      <c r="CI236" s="225" t="inlineStr">
        <is>
          <t>-0,08%</t>
        </is>
      </c>
      <c r="CJ236" s="226" t="inlineStr">
        <is>
          <t>-3,30%</t>
        </is>
      </c>
      <c r="CK236" s="227" t="inlineStr">
        <is>
          <t>-4,38%</t>
        </is>
      </c>
      <c r="CL236" s="228" t="inlineStr">
        <is>
          <t>9</t>
        </is>
      </c>
      <c r="CM236" s="229" t="inlineStr">
        <is>
          <t>0,61%</t>
        </is>
      </c>
      <c r="CN236" s="230" t="inlineStr">
        <is>
          <t>91</t>
        </is>
      </c>
      <c r="CO236" s="231" t="inlineStr">
        <is>
          <t>-12,71%</t>
        </is>
      </c>
      <c r="CP236" s="232" t="inlineStr">
        <is>
          <t>10</t>
        </is>
      </c>
      <c r="CQ236" s="233" t="inlineStr">
        <is>
          <t>3,96%</t>
        </is>
      </c>
      <c r="CR236" s="234" t="inlineStr">
        <is>
          <t>97</t>
        </is>
      </c>
      <c r="CS236" s="235" t="inlineStr">
        <is>
          <t>0,55%</t>
        </is>
      </c>
      <c r="CT236" s="236" t="inlineStr">
        <is>
          <t>88</t>
        </is>
      </c>
      <c r="CU236" s="237" t="inlineStr">
        <is>
          <t>0,67%</t>
        </is>
      </c>
      <c r="CV236" s="238" t="inlineStr">
        <is>
          <t>94</t>
        </is>
      </c>
      <c r="CW236" s="239" t="inlineStr">
        <is>
          <t>79,43x</t>
        </is>
      </c>
      <c r="CX236" s="240" t="inlineStr">
        <is>
          <t>98</t>
        </is>
      </c>
      <c r="CY236" s="241" t="inlineStr">
        <is>
          <t>0,33x</t>
        </is>
      </c>
      <c r="CZ236" s="242" t="inlineStr">
        <is>
          <t>0,42%</t>
        </is>
      </c>
      <c r="DA236" s="243" t="inlineStr">
        <is>
          <t>225,73x</t>
        </is>
      </c>
      <c r="DB236" s="244" t="inlineStr">
        <is>
          <t>100</t>
        </is>
      </c>
      <c r="DC236" s="245" t="inlineStr">
        <is>
          <t>7,81x</t>
        </is>
      </c>
      <c r="DD236" s="246" t="inlineStr">
        <is>
          <t>82</t>
        </is>
      </c>
      <c r="DE236" s="247" t="inlineStr">
        <is>
          <t>193,63x</t>
        </is>
      </c>
      <c r="DF236" s="248" t="inlineStr">
        <is>
          <t>99</t>
        </is>
      </c>
      <c r="DG236" s="249" t="inlineStr">
        <is>
          <t>257,83x</t>
        </is>
      </c>
      <c r="DH236" s="250" t="inlineStr">
        <is>
          <t>100</t>
        </is>
      </c>
      <c r="DI236" s="251" t="inlineStr">
        <is>
          <t>4,19x</t>
        </is>
      </c>
      <c r="DJ236" s="252" t="inlineStr">
        <is>
          <t>72</t>
        </is>
      </c>
      <c r="DK236" s="253" t="inlineStr">
        <is>
          <t>11,43x</t>
        </is>
      </c>
      <c r="DL236" s="254" t="inlineStr">
        <is>
          <t>88</t>
        </is>
      </c>
      <c r="DM236" s="255" t="inlineStr">
        <is>
          <t>71.649</t>
        </is>
      </c>
      <c r="DN236" s="256" t="inlineStr">
        <is>
          <t>940</t>
        </is>
      </c>
      <c r="DO236" s="257" t="inlineStr">
        <is>
          <t>1,33%</t>
        </is>
      </c>
      <c r="DP236" s="258" t="inlineStr">
        <is>
          <t>3.316</t>
        </is>
      </c>
      <c r="DQ236" s="259" t="inlineStr">
        <is>
          <t>9</t>
        </is>
      </c>
      <c r="DR236" s="260" t="inlineStr">
        <is>
          <t>0,27%</t>
        </is>
      </c>
      <c r="DS236" s="261" t="inlineStr">
        <is>
          <t>9.271</t>
        </is>
      </c>
      <c r="DT236" s="262" t="inlineStr">
        <is>
          <t>158</t>
        </is>
      </c>
      <c r="DU236" s="263" t="inlineStr">
        <is>
          <t>1,73%</t>
        </is>
      </c>
      <c r="DV236" s="264" t="inlineStr">
        <is>
          <t>4.267</t>
        </is>
      </c>
      <c r="DW236" s="265" t="inlineStr">
        <is>
          <t>27</t>
        </is>
      </c>
      <c r="DX236" s="266" t="inlineStr">
        <is>
          <t>0,64%</t>
        </is>
      </c>
      <c r="DY236" s="267" t="inlineStr">
        <is>
          <t>PitchBook Research</t>
        </is>
      </c>
      <c r="DZ236" s="786">
        <f>HYPERLINK("https://my.pitchbook.com?c=108577-54", "View company online")</f>
      </c>
    </row>
    <row r="237">
      <c r="A237" s="9" t="inlineStr">
        <is>
          <t>95062-42</t>
        </is>
      </c>
      <c r="B237" s="10" t="inlineStr">
        <is>
          <t>Satispay</t>
        </is>
      </c>
      <c r="C237" s="11" t="inlineStr">
        <is>
          <t/>
        </is>
      </c>
      <c r="D237" s="12" t="inlineStr">
        <is>
          <t/>
        </is>
      </c>
      <c r="E237" s="13" t="inlineStr">
        <is>
          <t>95062-42</t>
        </is>
      </c>
      <c r="F237" s="14" t="inlineStr">
        <is>
          <t>Provider of an application for redesigning payment networks. The company's payment network can be used for micro payments, peer to peer money transfer, in-store and online purchases and nonprofit donations through a cross-platform mobile application.</t>
        </is>
      </c>
      <c r="G237" s="15" t="inlineStr">
        <is>
          <t>Financial Services</t>
        </is>
      </c>
      <c r="H237" s="16" t="inlineStr">
        <is>
          <t>Other Financial Services</t>
        </is>
      </c>
      <c r="I237" s="17" t="inlineStr">
        <is>
          <t>Other Financial Services</t>
        </is>
      </c>
      <c r="J237" s="18" t="inlineStr">
        <is>
          <t>Other Financial Services*; Application Software; Financial Software</t>
        </is>
      </c>
      <c r="K237" s="19" t="inlineStr">
        <is>
          <t>Mobile</t>
        </is>
      </c>
      <c r="L237" s="20" t="inlineStr">
        <is>
          <t>Venture Capital-Backed</t>
        </is>
      </c>
      <c r="M237" s="21" t="n">
        <v>27.84</v>
      </c>
      <c r="N237" s="22" t="inlineStr">
        <is>
          <t>Startup</t>
        </is>
      </c>
      <c r="O237" s="23" t="inlineStr">
        <is>
          <t>Privately Held (backing)</t>
        </is>
      </c>
      <c r="P237" s="24" t="inlineStr">
        <is>
          <t>Venture Capital</t>
        </is>
      </c>
      <c r="Q237" s="25" t="inlineStr">
        <is>
          <t>www.satispay.com</t>
        </is>
      </c>
      <c r="R237" s="26" t="n">
        <v>39.0</v>
      </c>
      <c r="S237" s="27" t="inlineStr">
        <is>
          <t/>
        </is>
      </c>
      <c r="T237" s="28" t="inlineStr">
        <is>
          <t/>
        </is>
      </c>
      <c r="U237" s="29" t="n">
        <v>2013.0</v>
      </c>
      <c r="V237" s="30" t="inlineStr">
        <is>
          <t/>
        </is>
      </c>
      <c r="W237" s="31" t="inlineStr">
        <is>
          <t/>
        </is>
      </c>
      <c r="X237" s="32" t="inlineStr">
        <is>
          <t/>
        </is>
      </c>
      <c r="Y237" s="33" t="inlineStr">
        <is>
          <t/>
        </is>
      </c>
      <c r="Z237" s="34" t="inlineStr">
        <is>
          <t/>
        </is>
      </c>
      <c r="AA237" s="35" t="inlineStr">
        <is>
          <t/>
        </is>
      </c>
      <c r="AB237" s="36" t="inlineStr">
        <is>
          <t/>
        </is>
      </c>
      <c r="AC237" s="37" t="inlineStr">
        <is>
          <t/>
        </is>
      </c>
      <c r="AD237" s="38" t="inlineStr">
        <is>
          <t/>
        </is>
      </c>
      <c r="AE237" s="39" t="inlineStr">
        <is>
          <t>93441-52P</t>
        </is>
      </c>
      <c r="AF237" s="40" t="inlineStr">
        <is>
          <t>Dario Brignone</t>
        </is>
      </c>
      <c r="AG237" s="41" t="inlineStr">
        <is>
          <t>Co-Founder, Chief Technology Officer and Board Member</t>
        </is>
      </c>
      <c r="AH237" s="42" t="inlineStr">
        <is>
          <t>dario.brignone@satispay.com</t>
        </is>
      </c>
      <c r="AI237" s="43" t="inlineStr">
        <is>
          <t/>
        </is>
      </c>
      <c r="AJ237" s="44" t="inlineStr">
        <is>
          <t>Milan, Italy</t>
        </is>
      </c>
      <c r="AK237" s="45" t="inlineStr">
        <is>
          <t>Corso Sempione 68</t>
        </is>
      </c>
      <c r="AL237" s="46" t="inlineStr">
        <is>
          <t/>
        </is>
      </c>
      <c r="AM237" s="47" t="inlineStr">
        <is>
          <t>Milan</t>
        </is>
      </c>
      <c r="AN237" s="48" t="inlineStr">
        <is>
          <t/>
        </is>
      </c>
      <c r="AO237" s="49" t="inlineStr">
        <is>
          <t>20154</t>
        </is>
      </c>
      <c r="AP237" s="50" t="inlineStr">
        <is>
          <t>Italy</t>
        </is>
      </c>
      <c r="AQ237" s="51" t="inlineStr">
        <is>
          <t/>
        </is>
      </c>
      <c r="AR237" s="52" t="inlineStr">
        <is>
          <t/>
        </is>
      </c>
      <c r="AS237" s="53" t="inlineStr">
        <is>
          <t>info@satispay.com</t>
        </is>
      </c>
      <c r="AT237" s="54" t="inlineStr">
        <is>
          <t>Europe</t>
        </is>
      </c>
      <c r="AU237" s="55" t="inlineStr">
        <is>
          <t>Southern Europe</t>
        </is>
      </c>
      <c r="AV237" s="56" t="inlineStr">
        <is>
          <t>The company raised EUR 18.3 million of venture funding from Banca Etica, Banca Sella Holding and Smartclub on September 7, 2017, putting the company's post-money valuation at EUR 66 million. Shark Bites and Iccrea BancaImpresa also participated in this round. The company, which has raised a total of EUR 26.8 million to date, is using the funds to continue to expand operations.</t>
        </is>
      </c>
      <c r="AW237" s="57" t="inlineStr">
        <is>
          <t>Banca Etica, Banca Sella Holding, Boost Heroes, FocusFuturo, Iccrea BancaImpresa, Jonathan Weiner, Nicola Carbonari, Ray Iglesias, Smartclub, U-Start</t>
        </is>
      </c>
      <c r="AX237" s="58" t="n">
        <v>10.0</v>
      </c>
      <c r="AY237" s="59" t="inlineStr">
        <is>
          <t/>
        </is>
      </c>
      <c r="AZ237" s="60" t="inlineStr">
        <is>
          <t/>
        </is>
      </c>
      <c r="BA237" s="61" t="inlineStr">
        <is>
          <t/>
        </is>
      </c>
      <c r="BB237" s="62" t="inlineStr">
        <is>
          <t>Banca Etica (www.bancaetica.it), Boost Heroes (www.boostheroes.com), FocusFuturo (www.focusfuturo.it), Iccrea BancaImpresa (www.iccreabancaimpresa.it), U-Start (www.u-start.biz)</t>
        </is>
      </c>
      <c r="BC237" s="63" t="inlineStr">
        <is>
          <t/>
        </is>
      </c>
      <c r="BD237" s="64" t="inlineStr">
        <is>
          <t/>
        </is>
      </c>
      <c r="BE237" s="65" t="inlineStr">
        <is>
          <t>U-Start (Advisor: General)</t>
        </is>
      </c>
      <c r="BF237" s="66" t="inlineStr">
        <is>
          <t/>
        </is>
      </c>
      <c r="BG237" s="67" t="n">
        <v>41426.0</v>
      </c>
      <c r="BH237" s="68" t="n">
        <v>0.38</v>
      </c>
      <c r="BI237" s="69" t="inlineStr">
        <is>
          <t>Actual</t>
        </is>
      </c>
      <c r="BJ237" s="70" t="inlineStr">
        <is>
          <t/>
        </is>
      </c>
      <c r="BK237" s="71" t="inlineStr">
        <is>
          <t/>
        </is>
      </c>
      <c r="BL237" s="72" t="inlineStr">
        <is>
          <t>Angel (individual)</t>
        </is>
      </c>
      <c r="BM237" s="73" t="inlineStr">
        <is>
          <t>Series A</t>
        </is>
      </c>
      <c r="BN237" s="74" t="inlineStr">
        <is>
          <t/>
        </is>
      </c>
      <c r="BO237" s="75" t="inlineStr">
        <is>
          <t>Individual</t>
        </is>
      </c>
      <c r="BP237" s="76" t="inlineStr">
        <is>
          <t/>
        </is>
      </c>
      <c r="BQ237" s="77" t="inlineStr">
        <is>
          <t/>
        </is>
      </c>
      <c r="BR237" s="78" t="inlineStr">
        <is>
          <t/>
        </is>
      </c>
      <c r="BS237" s="79" t="inlineStr">
        <is>
          <t>Completed</t>
        </is>
      </c>
      <c r="BT237" s="80" t="n">
        <v>42985.0</v>
      </c>
      <c r="BU237" s="81" t="n">
        <v>18.3</v>
      </c>
      <c r="BV237" s="82" t="inlineStr">
        <is>
          <t>Actual</t>
        </is>
      </c>
      <c r="BW237" s="83" t="n">
        <v>66.0</v>
      </c>
      <c r="BX237" s="84" t="inlineStr">
        <is>
          <t>Actual</t>
        </is>
      </c>
      <c r="BY237" s="85" t="inlineStr">
        <is>
          <t>Early Stage VC</t>
        </is>
      </c>
      <c r="BZ237" s="86" t="inlineStr">
        <is>
          <t/>
        </is>
      </c>
      <c r="CA237" s="87" t="inlineStr">
        <is>
          <t/>
        </is>
      </c>
      <c r="CB237" s="88" t="inlineStr">
        <is>
          <t>Venture Capital</t>
        </is>
      </c>
      <c r="CC237" s="89" t="inlineStr">
        <is>
          <t/>
        </is>
      </c>
      <c r="CD237" s="90" t="inlineStr">
        <is>
          <t/>
        </is>
      </c>
      <c r="CE237" s="91" t="inlineStr">
        <is>
          <t/>
        </is>
      </c>
      <c r="CF237" s="92" t="inlineStr">
        <is>
          <t>Completed</t>
        </is>
      </c>
      <c r="CG237" s="93" t="inlineStr">
        <is>
          <t>-5,77%</t>
        </is>
      </c>
      <c r="CH237" s="94" t="inlineStr">
        <is>
          <t>3</t>
        </is>
      </c>
      <c r="CI237" s="95" t="inlineStr">
        <is>
          <t>-0,06%</t>
        </is>
      </c>
      <c r="CJ237" s="96" t="inlineStr">
        <is>
          <t>-1,04%</t>
        </is>
      </c>
      <c r="CK237" s="97" t="inlineStr">
        <is>
          <t>-12,70%</t>
        </is>
      </c>
      <c r="CL237" s="98" t="inlineStr">
        <is>
          <t>2</t>
        </is>
      </c>
      <c r="CM237" s="99" t="inlineStr">
        <is>
          <t>1,16%</t>
        </is>
      </c>
      <c r="CN237" s="100" t="inlineStr">
        <is>
          <t>97</t>
        </is>
      </c>
      <c r="CO237" s="101" t="inlineStr">
        <is>
          <t>-25,50%</t>
        </is>
      </c>
      <c r="CP237" s="102" t="inlineStr">
        <is>
          <t>3</t>
        </is>
      </c>
      <c r="CQ237" s="103" t="inlineStr">
        <is>
          <t>0,09%</t>
        </is>
      </c>
      <c r="CR237" s="104" t="inlineStr">
        <is>
          <t>90</t>
        </is>
      </c>
      <c r="CS237" s="105" t="inlineStr">
        <is>
          <t>1,35%</t>
        </is>
      </c>
      <c r="CT237" s="106" t="inlineStr">
        <is>
          <t>96</t>
        </is>
      </c>
      <c r="CU237" s="107" t="inlineStr">
        <is>
          <t>0,97%</t>
        </is>
      </c>
      <c r="CV237" s="108" t="inlineStr">
        <is>
          <t>96</t>
        </is>
      </c>
      <c r="CW237" s="109" t="inlineStr">
        <is>
          <t>19,34x</t>
        </is>
      </c>
      <c r="CX237" s="110" t="inlineStr">
        <is>
          <t>93</t>
        </is>
      </c>
      <c r="CY237" s="111" t="inlineStr">
        <is>
          <t>0,02x</t>
        </is>
      </c>
      <c r="CZ237" s="112" t="inlineStr">
        <is>
          <t>0,10%</t>
        </is>
      </c>
      <c r="DA237" s="113" t="inlineStr">
        <is>
          <t>9,65x</t>
        </is>
      </c>
      <c r="DB237" s="114" t="inlineStr">
        <is>
          <t>89</t>
        </is>
      </c>
      <c r="DC237" s="115" t="inlineStr">
        <is>
          <t>29,04x</t>
        </is>
      </c>
      <c r="DD237" s="116" t="inlineStr">
        <is>
          <t>92</t>
        </is>
      </c>
      <c r="DE237" s="117" t="inlineStr">
        <is>
          <t>0,47x</t>
        </is>
      </c>
      <c r="DF237" s="118" t="inlineStr">
        <is>
          <t>32</t>
        </is>
      </c>
      <c r="DG237" s="119" t="inlineStr">
        <is>
          <t>18,83x</t>
        </is>
      </c>
      <c r="DH237" s="120" t="inlineStr">
        <is>
          <t>93</t>
        </is>
      </c>
      <c r="DI237" s="121" t="inlineStr">
        <is>
          <t>51,07x</t>
        </is>
      </c>
      <c r="DJ237" s="122" t="inlineStr">
        <is>
          <t>92</t>
        </is>
      </c>
      <c r="DK237" s="123" t="inlineStr">
        <is>
          <t>7,00x</t>
        </is>
      </c>
      <c r="DL237" s="124" t="inlineStr">
        <is>
          <t>83</t>
        </is>
      </c>
      <c r="DM237" s="125" t="inlineStr">
        <is>
          <t>172</t>
        </is>
      </c>
      <c r="DN237" s="126" t="inlineStr">
        <is>
          <t>15</t>
        </is>
      </c>
      <c r="DO237" s="127" t="inlineStr">
        <is>
          <t>9,55%</t>
        </is>
      </c>
      <c r="DP237" s="128" t="inlineStr">
        <is>
          <t>40.309</t>
        </is>
      </c>
      <c r="DQ237" s="129" t="inlineStr">
        <is>
          <t>345</t>
        </is>
      </c>
      <c r="DR237" s="130" t="inlineStr">
        <is>
          <t>0,86%</t>
        </is>
      </c>
      <c r="DS237" s="131" t="inlineStr">
        <is>
          <t>677</t>
        </is>
      </c>
      <c r="DT237" s="132" t="inlineStr">
        <is>
          <t>0</t>
        </is>
      </c>
      <c r="DU237" s="133" t="inlineStr">
        <is>
          <t>0,00%</t>
        </is>
      </c>
      <c r="DV237" s="134" t="inlineStr">
        <is>
          <t>2.602</t>
        </is>
      </c>
      <c r="DW237" s="135" t="inlineStr">
        <is>
          <t>25</t>
        </is>
      </c>
      <c r="DX237" s="136" t="inlineStr">
        <is>
          <t>0,97%</t>
        </is>
      </c>
      <c r="DY237" s="137" t="inlineStr">
        <is>
          <t>PitchBook Research</t>
        </is>
      </c>
      <c r="DZ237" s="785">
        <f>HYPERLINK("https://my.pitchbook.com?c=95062-42", "View company online")</f>
      </c>
    </row>
    <row r="238">
      <c r="A238" s="139" t="inlineStr">
        <is>
          <t>156930-40</t>
        </is>
      </c>
      <c r="B238" s="140" t="inlineStr">
        <is>
          <t>Habito</t>
        </is>
      </c>
      <c r="C238" s="141" t="inlineStr">
        <is>
          <t/>
        </is>
      </c>
      <c r="D238" s="142" t="inlineStr">
        <is>
          <t/>
        </is>
      </c>
      <c r="E238" s="143" t="inlineStr">
        <is>
          <t>156930-40</t>
        </is>
      </c>
      <c r="F238" s="144" t="inlineStr">
        <is>
          <t>Provider of a digital mortgage platform designed to sort out home mortgage deals. The company's digital mortgage platform offers its home buyers various types of deal based on individual requirements, enabling consumers to find the best deals for themselves.</t>
        </is>
      </c>
      <c r="G238" s="145" t="inlineStr">
        <is>
          <t>Consumer Products and Services (B2C)</t>
        </is>
      </c>
      <c r="H238" s="146" t="inlineStr">
        <is>
          <t>Services (Non-Financial)</t>
        </is>
      </c>
      <c r="I238" s="147" t="inlineStr">
        <is>
          <t>Real Estate Services (B2C)</t>
        </is>
      </c>
      <c r="J238" s="148" t="inlineStr">
        <is>
          <t>Real Estate Services (B2C)*; Consumer Finance; Other Financial Services</t>
        </is>
      </c>
      <c r="K238" s="149" t="inlineStr">
        <is>
          <t>FinTech</t>
        </is>
      </c>
      <c r="L238" s="150" t="inlineStr">
        <is>
          <t>Venture Capital-Backed</t>
        </is>
      </c>
      <c r="M238" s="151" t="n">
        <v>30.1</v>
      </c>
      <c r="N238" s="152" t="inlineStr">
        <is>
          <t>Startup</t>
        </is>
      </c>
      <c r="O238" s="153" t="inlineStr">
        <is>
          <t>Privately Held (backing)</t>
        </is>
      </c>
      <c r="P238" s="154" t="inlineStr">
        <is>
          <t>Venture Capital</t>
        </is>
      </c>
      <c r="Q238" s="155" t="inlineStr">
        <is>
          <t>www.habito.com</t>
        </is>
      </c>
      <c r="R238" s="156" t="n">
        <v>25.0</v>
      </c>
      <c r="S238" s="157" t="inlineStr">
        <is>
          <t/>
        </is>
      </c>
      <c r="T238" s="158" t="inlineStr">
        <is>
          <t/>
        </is>
      </c>
      <c r="U238" s="159" t="n">
        <v>2015.0</v>
      </c>
      <c r="V238" s="160" t="inlineStr">
        <is>
          <t/>
        </is>
      </c>
      <c r="W238" s="161" t="inlineStr">
        <is>
          <t/>
        </is>
      </c>
      <c r="X238" s="162" t="inlineStr">
        <is>
          <t/>
        </is>
      </c>
      <c r="Y238" s="163" t="inlineStr">
        <is>
          <t/>
        </is>
      </c>
      <c r="Z238" s="164" t="inlineStr">
        <is>
          <t/>
        </is>
      </c>
      <c r="AA238" s="165" t="inlineStr">
        <is>
          <t/>
        </is>
      </c>
      <c r="AB238" s="166" t="inlineStr">
        <is>
          <t/>
        </is>
      </c>
      <c r="AC238" s="167" t="inlineStr">
        <is>
          <t/>
        </is>
      </c>
      <c r="AD238" s="168" t="inlineStr">
        <is>
          <t/>
        </is>
      </c>
      <c r="AE238" s="169" t="inlineStr">
        <is>
          <t>132613-48P</t>
        </is>
      </c>
      <c r="AF238" s="170" t="inlineStr">
        <is>
          <t>Daniel Hegarty</t>
        </is>
      </c>
      <c r="AG238" s="171" t="inlineStr">
        <is>
          <t>Founder, Board Member and Chief Executive Officer</t>
        </is>
      </c>
      <c r="AH238" s="172" t="inlineStr">
        <is>
          <t>daniel@habito.com</t>
        </is>
      </c>
      <c r="AI238" s="173" t="inlineStr">
        <is>
          <t>+44 (0)33 0223 0196</t>
        </is>
      </c>
      <c r="AJ238" s="174" t="inlineStr">
        <is>
          <t>London, United Kingdom</t>
        </is>
      </c>
      <c r="AK238" s="175" t="inlineStr">
        <is>
          <t>The Loom</t>
        </is>
      </c>
      <c r="AL238" s="176" t="inlineStr">
        <is>
          <t>14 Gowers Walk</t>
        </is>
      </c>
      <c r="AM238" s="177" t="inlineStr">
        <is>
          <t>London</t>
        </is>
      </c>
      <c r="AN238" s="178" t="inlineStr">
        <is>
          <t>England</t>
        </is>
      </c>
      <c r="AO238" s="179" t="inlineStr">
        <is>
          <t>E1 8PY</t>
        </is>
      </c>
      <c r="AP238" s="180" t="inlineStr">
        <is>
          <t>United Kingdom</t>
        </is>
      </c>
      <c r="AQ238" s="181" t="inlineStr">
        <is>
          <t>+44 (0)33 0223 0196</t>
        </is>
      </c>
      <c r="AR238" s="182" t="inlineStr">
        <is>
          <t/>
        </is>
      </c>
      <c r="AS238" s="183" t="inlineStr">
        <is>
          <t>hey@habito.com</t>
        </is>
      </c>
      <c r="AT238" s="184" t="inlineStr">
        <is>
          <t>Europe</t>
        </is>
      </c>
      <c r="AU238" s="185" t="inlineStr">
        <is>
          <t>Western Europe</t>
        </is>
      </c>
      <c r="AV238" s="186" t="inlineStr">
        <is>
          <t>The company raised GBP 18.5 million of Series B venture funding in a deal led by Atomico on September 3, 2017. Ribbit Capital, Mosaic Ventures and Revolution also participated in this round. The funds will in part be used to integrate technology with major retail banks and high street lenders to facilitate "real-time mortgage approvals", in addition to marketing and other product development. The company till date has raised over GBP 27 million. Previously, the company raised GBP 5.44 million of Series A venture funding in a deal led by Ribbit Capital on January 23, 2017, putting the company's pre-money valuation at GBP 13.95 million. Mosaic Ventures, Taavet Hinrikus, Samir Desai and Yuri Milner also participated in this round. The company intends to use the funds to speed up its growth and enhance the technology behind its service, further developing its machine learning capabilities over the next 12 months.</t>
        </is>
      </c>
      <c r="AW238" s="187" t="inlineStr">
        <is>
          <t>Atomico, Mosaic Ventures, Revolution, Ribbit Capital, Samir Desai, Taavet Hinrikus, Tom Stafford, Yuri Milner</t>
        </is>
      </c>
      <c r="AX238" s="188" t="n">
        <v>8.0</v>
      </c>
      <c r="AY238" s="189" t="inlineStr">
        <is>
          <t/>
        </is>
      </c>
      <c r="AZ238" s="190" t="inlineStr">
        <is>
          <t/>
        </is>
      </c>
      <c r="BA238" s="191" t="inlineStr">
        <is>
          <t/>
        </is>
      </c>
      <c r="BB238" s="192" t="inlineStr">
        <is>
          <t>Atomico (www.atomico.com), Mosaic Ventures (www.mosaicventures.com), Revolution (www.revolution.com), Ribbit Capital (www.ribbitcap.com)</t>
        </is>
      </c>
      <c r="BC238" s="193" t="inlineStr">
        <is>
          <t/>
        </is>
      </c>
      <c r="BD238" s="194" t="inlineStr">
        <is>
          <t/>
        </is>
      </c>
      <c r="BE238" s="195" t="inlineStr">
        <is>
          <t>JAG Shaw Baker (Legal Advisor)</t>
        </is>
      </c>
      <c r="BF238" s="196" t="inlineStr">
        <is>
          <t/>
        </is>
      </c>
      <c r="BG238" s="197" t="n">
        <v>42283.0</v>
      </c>
      <c r="BH238" s="198" t="n">
        <v>0.31</v>
      </c>
      <c r="BI238" s="199" t="inlineStr">
        <is>
          <t>Actual</t>
        </is>
      </c>
      <c r="BJ238" s="200" t="n">
        <v>1.54</v>
      </c>
      <c r="BK238" s="201" t="inlineStr">
        <is>
          <t>Actual</t>
        </is>
      </c>
      <c r="BL238" s="202" t="inlineStr">
        <is>
          <t>Angel (individual)</t>
        </is>
      </c>
      <c r="BM238" s="203" t="inlineStr">
        <is>
          <t>Angel</t>
        </is>
      </c>
      <c r="BN238" s="204" t="inlineStr">
        <is>
          <t/>
        </is>
      </c>
      <c r="BO238" s="205" t="inlineStr">
        <is>
          <t>Individual</t>
        </is>
      </c>
      <c r="BP238" s="206" t="inlineStr">
        <is>
          <t/>
        </is>
      </c>
      <c r="BQ238" s="207" t="inlineStr">
        <is>
          <t/>
        </is>
      </c>
      <c r="BR238" s="208" t="inlineStr">
        <is>
          <t/>
        </is>
      </c>
      <c r="BS238" s="209" t="inlineStr">
        <is>
          <t>Completed</t>
        </is>
      </c>
      <c r="BT238" s="210" t="n">
        <v>42981.0</v>
      </c>
      <c r="BU238" s="211" t="n">
        <v>20.63</v>
      </c>
      <c r="BV238" s="212" t="inlineStr">
        <is>
          <t>Actual</t>
        </is>
      </c>
      <c r="BW238" s="213" t="inlineStr">
        <is>
          <t/>
        </is>
      </c>
      <c r="BX238" s="214" t="inlineStr">
        <is>
          <t/>
        </is>
      </c>
      <c r="BY238" s="215" t="inlineStr">
        <is>
          <t>Early Stage VC</t>
        </is>
      </c>
      <c r="BZ238" s="216" t="inlineStr">
        <is>
          <t>Series B</t>
        </is>
      </c>
      <c r="CA238" s="217" t="inlineStr">
        <is>
          <t/>
        </is>
      </c>
      <c r="CB238" s="218" t="inlineStr">
        <is>
          <t>Venture Capital</t>
        </is>
      </c>
      <c r="CC238" s="219" t="inlineStr">
        <is>
          <t/>
        </is>
      </c>
      <c r="CD238" s="220" t="inlineStr">
        <is>
          <t/>
        </is>
      </c>
      <c r="CE238" s="221" t="inlineStr">
        <is>
          <t/>
        </is>
      </c>
      <c r="CF238" s="222" t="inlineStr">
        <is>
          <t>Completed</t>
        </is>
      </c>
      <c r="CG238" s="223" t="inlineStr">
        <is>
          <t>-4,31%</t>
        </is>
      </c>
      <c r="CH238" s="224" t="inlineStr">
        <is>
          <t>4</t>
        </is>
      </c>
      <c r="CI238" s="225" t="inlineStr">
        <is>
          <t>-0,17%</t>
        </is>
      </c>
      <c r="CJ238" s="226" t="inlineStr">
        <is>
          <t>-4,22%</t>
        </is>
      </c>
      <c r="CK238" s="227" t="inlineStr">
        <is>
          <t>-9,63%</t>
        </is>
      </c>
      <c r="CL238" s="228" t="inlineStr">
        <is>
          <t>4</t>
        </is>
      </c>
      <c r="CM238" s="229" t="inlineStr">
        <is>
          <t>1,01%</t>
        </is>
      </c>
      <c r="CN238" s="230" t="inlineStr">
        <is>
          <t>96</t>
        </is>
      </c>
      <c r="CO238" s="231" t="inlineStr">
        <is>
          <t>-26,18%</t>
        </is>
      </c>
      <c r="CP238" s="232" t="inlineStr">
        <is>
          <t>3</t>
        </is>
      </c>
      <c r="CQ238" s="233" t="inlineStr">
        <is>
          <t>6,92%</t>
        </is>
      </c>
      <c r="CR238" s="234" t="inlineStr">
        <is>
          <t>99</t>
        </is>
      </c>
      <c r="CS238" s="235" t="inlineStr">
        <is>
          <t>2,02%</t>
        </is>
      </c>
      <c r="CT238" s="236" t="inlineStr">
        <is>
          <t>98</t>
        </is>
      </c>
      <c r="CU238" s="237" t="inlineStr">
        <is>
          <t>0,00%</t>
        </is>
      </c>
      <c r="CV238" s="238" t="inlineStr">
        <is>
          <t>21</t>
        </is>
      </c>
      <c r="CW238" s="239" t="inlineStr">
        <is>
          <t>6,64x</t>
        </is>
      </c>
      <c r="CX238" s="240" t="inlineStr">
        <is>
          <t>83</t>
        </is>
      </c>
      <c r="CY238" s="241" t="inlineStr">
        <is>
          <t>0,08x</t>
        </is>
      </c>
      <c r="CZ238" s="242" t="inlineStr">
        <is>
          <t>1,16%</t>
        </is>
      </c>
      <c r="DA238" s="243" t="inlineStr">
        <is>
          <t>10,23x</t>
        </is>
      </c>
      <c r="DB238" s="244" t="inlineStr">
        <is>
          <t>89</t>
        </is>
      </c>
      <c r="DC238" s="245" t="inlineStr">
        <is>
          <t>3,06x</t>
        </is>
      </c>
      <c r="DD238" s="246" t="inlineStr">
        <is>
          <t>69</t>
        </is>
      </c>
      <c r="DE238" s="247" t="inlineStr">
        <is>
          <t>0,96x</t>
        </is>
      </c>
      <c r="DF238" s="248" t="inlineStr">
        <is>
          <t>49</t>
        </is>
      </c>
      <c r="DG238" s="249" t="inlineStr">
        <is>
          <t>19,50x</t>
        </is>
      </c>
      <c r="DH238" s="250" t="inlineStr">
        <is>
          <t>93</t>
        </is>
      </c>
      <c r="DI238" s="251" t="inlineStr">
        <is>
          <t>6,10x</t>
        </is>
      </c>
      <c r="DJ238" s="252" t="inlineStr">
        <is>
          <t>77</t>
        </is>
      </c>
      <c r="DK238" s="253" t="inlineStr">
        <is>
          <t>0,01x</t>
        </is>
      </c>
      <c r="DL238" s="254" t="inlineStr">
        <is>
          <t>1</t>
        </is>
      </c>
      <c r="DM238" s="255" t="inlineStr">
        <is>
          <t>403</t>
        </is>
      </c>
      <c r="DN238" s="256" t="inlineStr">
        <is>
          <t>-236</t>
        </is>
      </c>
      <c r="DO238" s="257" t="inlineStr">
        <is>
          <t>-36,93%</t>
        </is>
      </c>
      <c r="DP238" s="258" t="inlineStr">
        <is>
          <t>4.798</t>
        </is>
      </c>
      <c r="DQ238" s="259" t="inlineStr">
        <is>
          <t>79</t>
        </is>
      </c>
      <c r="DR238" s="260" t="inlineStr">
        <is>
          <t>1,67%</t>
        </is>
      </c>
      <c r="DS238" s="261" t="inlineStr">
        <is>
          <t>697</t>
        </is>
      </c>
      <c r="DT238" s="262" t="inlineStr">
        <is>
          <t>10</t>
        </is>
      </c>
      <c r="DU238" s="263" t="inlineStr">
        <is>
          <t>1,46%</t>
        </is>
      </c>
      <c r="DV238" s="264" t="inlineStr">
        <is>
          <t>5</t>
        </is>
      </c>
      <c r="DW238" s="265" t="inlineStr">
        <is>
          <t>0</t>
        </is>
      </c>
      <c r="DX238" s="266" t="inlineStr">
        <is>
          <t>0,00%</t>
        </is>
      </c>
      <c r="DY238" s="267" t="inlineStr">
        <is>
          <t>PitchBook Research</t>
        </is>
      </c>
      <c r="DZ238" s="786">
        <f>HYPERLINK("https://my.pitchbook.com?c=156930-40", "View company online")</f>
      </c>
    </row>
    <row r="239">
      <c r="A239" s="9" t="inlineStr">
        <is>
          <t>95110-30</t>
        </is>
      </c>
      <c r="B239" s="10" t="inlineStr">
        <is>
          <t>SendinBlue</t>
        </is>
      </c>
      <c r="C239" s="11" t="inlineStr">
        <is>
          <t>Mailinblue</t>
        </is>
      </c>
      <c r="D239" s="12" t="inlineStr">
        <is>
          <t/>
        </is>
      </c>
      <c r="E239" s="13" t="inlineStr">
        <is>
          <t>95110-30</t>
        </is>
      </c>
      <c r="F239" s="14" t="inlineStr">
        <is>
          <t>Developer of a SaaS based digital marketing suite designed to meet the demand for an all-in-one solution for SMBs to engage with customers through multi-channel relationship-based marketing interactions. The company's tool encompasses the entire chain, from the creation of a newsletter to analysis and reporting tools, to targeting modules, empowering B2B and B2C businesses, e-commerce sellers and agencies to build customer relationships through digital marketing campaigns, transactional messaging, and marketing automation.</t>
        </is>
      </c>
      <c r="G239" s="15" t="inlineStr">
        <is>
          <t>Information Technology</t>
        </is>
      </c>
      <c r="H239" s="16" t="inlineStr">
        <is>
          <t>IT Services</t>
        </is>
      </c>
      <c r="I239" s="17" t="inlineStr">
        <is>
          <t>IT Consulting and Outsourcing</t>
        </is>
      </c>
      <c r="J239" s="18" t="inlineStr">
        <is>
          <t>IT Consulting and Outsourcing*; Automation/Workflow Software; Business/Productivity Software</t>
        </is>
      </c>
      <c r="K239" s="19" t="inlineStr">
        <is>
          <t>Marketing Tech, SaaS</t>
        </is>
      </c>
      <c r="L239" s="20" t="inlineStr">
        <is>
          <t>Venture Capital-Backed</t>
        </is>
      </c>
      <c r="M239" s="21" t="n">
        <v>31.2</v>
      </c>
      <c r="N239" s="22" t="inlineStr">
        <is>
          <t>Profitable</t>
        </is>
      </c>
      <c r="O239" s="23" t="inlineStr">
        <is>
          <t>Privately Held (backing)</t>
        </is>
      </c>
      <c r="P239" s="24" t="inlineStr">
        <is>
          <t>Venture Capital, M&amp;A</t>
        </is>
      </c>
      <c r="Q239" s="25" t="inlineStr">
        <is>
          <t>www.sendinblue.com</t>
        </is>
      </c>
      <c r="R239" s="26" t="n">
        <v>26.0</v>
      </c>
      <c r="S239" s="27" t="inlineStr">
        <is>
          <t/>
        </is>
      </c>
      <c r="T239" s="28" t="inlineStr">
        <is>
          <t/>
        </is>
      </c>
      <c r="U239" s="29" t="n">
        <v>2007.0</v>
      </c>
      <c r="V239" s="30" t="inlineStr">
        <is>
          <t/>
        </is>
      </c>
      <c r="W239" s="31" t="inlineStr">
        <is>
          <t/>
        </is>
      </c>
      <c r="X239" s="32" t="inlineStr">
        <is>
          <t/>
        </is>
      </c>
      <c r="Y239" s="33" t="n">
        <v>7.89227</v>
      </c>
      <c r="Z239" s="34" t="n">
        <v>0.0</v>
      </c>
      <c r="AA239" s="35" t="inlineStr">
        <is>
          <t/>
        </is>
      </c>
      <c r="AB239" s="36" t="inlineStr">
        <is>
          <t/>
        </is>
      </c>
      <c r="AC239" s="37" t="n">
        <v>-0.11383</v>
      </c>
      <c r="AD239" s="38" t="inlineStr">
        <is>
          <t>FY 2016</t>
        </is>
      </c>
      <c r="AE239" s="39" t="inlineStr">
        <is>
          <t>106929-55P</t>
        </is>
      </c>
      <c r="AF239" s="40" t="inlineStr">
        <is>
          <t>Kapil Sharma</t>
        </is>
      </c>
      <c r="AG239" s="41" t="inlineStr">
        <is>
          <t>Co-Founder &amp; Chief Operating Officer</t>
        </is>
      </c>
      <c r="AH239" s="42" t="inlineStr">
        <is>
          <t>kapil@sendinblue.com</t>
        </is>
      </c>
      <c r="AI239" s="43" t="inlineStr">
        <is>
          <t/>
        </is>
      </c>
      <c r="AJ239" s="44" t="inlineStr">
        <is>
          <t>Paris, France</t>
        </is>
      </c>
      <c r="AK239" s="45" t="inlineStr">
        <is>
          <t>47, rue de la Chaussée d'Antin</t>
        </is>
      </c>
      <c r="AL239" s="46" t="inlineStr">
        <is>
          <t/>
        </is>
      </c>
      <c r="AM239" s="47" t="inlineStr">
        <is>
          <t>Paris</t>
        </is>
      </c>
      <c r="AN239" s="48" t="inlineStr">
        <is>
          <t/>
        </is>
      </c>
      <c r="AO239" s="49" t="inlineStr">
        <is>
          <t>75009</t>
        </is>
      </c>
      <c r="AP239" s="50" t="inlineStr">
        <is>
          <t>France</t>
        </is>
      </c>
      <c r="AQ239" s="51" t="inlineStr">
        <is>
          <t/>
        </is>
      </c>
      <c r="AR239" s="52" t="inlineStr">
        <is>
          <t/>
        </is>
      </c>
      <c r="AS239" s="53" t="inlineStr">
        <is>
          <t/>
        </is>
      </c>
      <c r="AT239" s="54" t="inlineStr">
        <is>
          <t>Europe</t>
        </is>
      </c>
      <c r="AU239" s="55" t="inlineStr">
        <is>
          <t>Western Europe</t>
        </is>
      </c>
      <c r="AV239" s="56" t="inlineStr">
        <is>
          <t>The company raised $36 million of Series A venture funding led by Partech Ventures on September 12, 2017. Other undisclosed investors also participated in the round. The company intends to use the funds to expand its sales and marketing efforts worldwide, product offerings and support an initial 100 hires across offices in Seattle, Paris, and Noida, India, more than doubling its global presence.</t>
        </is>
      </c>
      <c r="AW239" s="57" t="inlineStr">
        <is>
          <t>Caloga, Partech Ventures</t>
        </is>
      </c>
      <c r="AX239" s="58" t="n">
        <v>2.0</v>
      </c>
      <c r="AY239" s="59" t="inlineStr">
        <is>
          <t/>
        </is>
      </c>
      <c r="AZ239" s="60" t="inlineStr">
        <is>
          <t/>
        </is>
      </c>
      <c r="BA239" s="61" t="inlineStr">
        <is>
          <t/>
        </is>
      </c>
      <c r="BB239" s="62" t="inlineStr">
        <is>
          <t>Caloga (www.caloga.com), Partech Ventures (www.partechventures.com)</t>
        </is>
      </c>
      <c r="BC239" s="63" t="inlineStr">
        <is>
          <t/>
        </is>
      </c>
      <c r="BD239" s="64" t="inlineStr">
        <is>
          <t/>
        </is>
      </c>
      <c r="BE239" s="65" t="inlineStr">
        <is>
          <t/>
        </is>
      </c>
      <c r="BF239" s="66" t="inlineStr">
        <is>
          <t/>
        </is>
      </c>
      <c r="BG239" s="67" t="n">
        <v>41526.0</v>
      </c>
      <c r="BH239" s="68" t="n">
        <v>1.0</v>
      </c>
      <c r="BI239" s="69" t="inlineStr">
        <is>
          <t>Actual</t>
        </is>
      </c>
      <c r="BJ239" s="70" t="inlineStr">
        <is>
          <t/>
        </is>
      </c>
      <c r="BK239" s="71" t="inlineStr">
        <is>
          <t/>
        </is>
      </c>
      <c r="BL239" s="72" t="inlineStr">
        <is>
          <t>Corporate</t>
        </is>
      </c>
      <c r="BM239" s="73" t="inlineStr">
        <is>
          <t>Corporate</t>
        </is>
      </c>
      <c r="BN239" s="74" t="inlineStr">
        <is>
          <t/>
        </is>
      </c>
      <c r="BO239" s="75" t="inlineStr">
        <is>
          <t>Corporate</t>
        </is>
      </c>
      <c r="BP239" s="76" t="inlineStr">
        <is>
          <t/>
        </is>
      </c>
      <c r="BQ239" s="77" t="inlineStr">
        <is>
          <t/>
        </is>
      </c>
      <c r="BR239" s="78" t="inlineStr">
        <is>
          <t/>
        </is>
      </c>
      <c r="BS239" s="79" t="inlineStr">
        <is>
          <t>Completed</t>
        </is>
      </c>
      <c r="BT239" s="80" t="n">
        <v>42990.0</v>
      </c>
      <c r="BU239" s="81" t="n">
        <v>30.2</v>
      </c>
      <c r="BV239" s="82" t="inlineStr">
        <is>
          <t>Actual</t>
        </is>
      </c>
      <c r="BW239" s="83" t="inlineStr">
        <is>
          <t/>
        </is>
      </c>
      <c r="BX239" s="84" t="inlineStr">
        <is>
          <t/>
        </is>
      </c>
      <c r="BY239" s="85" t="inlineStr">
        <is>
          <t>Early Stage VC</t>
        </is>
      </c>
      <c r="BZ239" s="86" t="inlineStr">
        <is>
          <t>Series A</t>
        </is>
      </c>
      <c r="CA239" s="87" t="inlineStr">
        <is>
          <t/>
        </is>
      </c>
      <c r="CB239" s="88" t="inlineStr">
        <is>
          <t>Venture Capital</t>
        </is>
      </c>
      <c r="CC239" s="89" t="inlineStr">
        <is>
          <t/>
        </is>
      </c>
      <c r="CD239" s="90" t="inlineStr">
        <is>
          <t/>
        </is>
      </c>
      <c r="CE239" s="91" t="inlineStr">
        <is>
          <t/>
        </is>
      </c>
      <c r="CF239" s="92" t="inlineStr">
        <is>
          <t>Completed</t>
        </is>
      </c>
      <c r="CG239" s="93" t="inlineStr">
        <is>
          <t>-2,20%</t>
        </is>
      </c>
      <c r="CH239" s="94" t="inlineStr">
        <is>
          <t>9</t>
        </is>
      </c>
      <c r="CI239" s="95" t="inlineStr">
        <is>
          <t>0,02%</t>
        </is>
      </c>
      <c r="CJ239" s="96" t="inlineStr">
        <is>
          <t>1,06%</t>
        </is>
      </c>
      <c r="CK239" s="97" t="inlineStr">
        <is>
          <t>-5,23%</t>
        </is>
      </c>
      <c r="CL239" s="98" t="inlineStr">
        <is>
          <t>7</t>
        </is>
      </c>
      <c r="CM239" s="99" t="inlineStr">
        <is>
          <t>0,83%</t>
        </is>
      </c>
      <c r="CN239" s="100" t="inlineStr">
        <is>
          <t>94</t>
        </is>
      </c>
      <c r="CO239" s="101" t="inlineStr">
        <is>
          <t>-10,90%</t>
        </is>
      </c>
      <c r="CP239" s="102" t="inlineStr">
        <is>
          <t>12</t>
        </is>
      </c>
      <c r="CQ239" s="103" t="inlineStr">
        <is>
          <t>0,44%</t>
        </is>
      </c>
      <c r="CR239" s="104" t="inlineStr">
        <is>
          <t>91</t>
        </is>
      </c>
      <c r="CS239" s="105" t="inlineStr">
        <is>
          <t>1,38%</t>
        </is>
      </c>
      <c r="CT239" s="106" t="inlineStr">
        <is>
          <t>96</t>
        </is>
      </c>
      <c r="CU239" s="107" t="inlineStr">
        <is>
          <t>0,29%</t>
        </is>
      </c>
      <c r="CV239" s="108" t="inlineStr">
        <is>
          <t>83</t>
        </is>
      </c>
      <c r="CW239" s="109" t="inlineStr">
        <is>
          <t>41,95x</t>
        </is>
      </c>
      <c r="CX239" s="110" t="inlineStr">
        <is>
          <t>96</t>
        </is>
      </c>
      <c r="CY239" s="111" t="inlineStr">
        <is>
          <t>0,05x</t>
        </is>
      </c>
      <c r="CZ239" s="112" t="inlineStr">
        <is>
          <t>0,11%</t>
        </is>
      </c>
      <c r="DA239" s="113" t="inlineStr">
        <is>
          <t>69,31x</t>
        </is>
      </c>
      <c r="DB239" s="114" t="inlineStr">
        <is>
          <t>98</t>
        </is>
      </c>
      <c r="DC239" s="115" t="inlineStr">
        <is>
          <t>14,58x</t>
        </is>
      </c>
      <c r="DD239" s="116" t="inlineStr">
        <is>
          <t>87</t>
        </is>
      </c>
      <c r="DE239" s="117" t="inlineStr">
        <is>
          <t>86,29x</t>
        </is>
      </c>
      <c r="DF239" s="118" t="inlineStr">
        <is>
          <t>98</t>
        </is>
      </c>
      <c r="DG239" s="119" t="inlineStr">
        <is>
          <t>52,33x</t>
        </is>
      </c>
      <c r="DH239" s="120" t="inlineStr">
        <is>
          <t>97</t>
        </is>
      </c>
      <c r="DI239" s="121" t="inlineStr">
        <is>
          <t>14,02x</t>
        </is>
      </c>
      <c r="DJ239" s="122" t="inlineStr">
        <is>
          <t>84</t>
        </is>
      </c>
      <c r="DK239" s="123" t="inlineStr">
        <is>
          <t>15,13x</t>
        </is>
      </c>
      <c r="DL239" s="124" t="inlineStr">
        <is>
          <t>90</t>
        </is>
      </c>
      <c r="DM239" s="125" t="inlineStr">
        <is>
          <t>31.870</t>
        </is>
      </c>
      <c r="DN239" s="126" t="inlineStr">
        <is>
          <t>727</t>
        </is>
      </c>
      <c r="DO239" s="127" t="inlineStr">
        <is>
          <t>2,33%</t>
        </is>
      </c>
      <c r="DP239" s="128" t="inlineStr">
        <is>
          <t>11.061</t>
        </is>
      </c>
      <c r="DQ239" s="129" t="inlineStr">
        <is>
          <t>126</t>
        </is>
      </c>
      <c r="DR239" s="130" t="inlineStr">
        <is>
          <t>1,15%</t>
        </is>
      </c>
      <c r="DS239" s="131" t="inlineStr">
        <is>
          <t>1.880</t>
        </is>
      </c>
      <c r="DT239" s="132" t="inlineStr">
        <is>
          <t>8</t>
        </is>
      </c>
      <c r="DU239" s="133" t="inlineStr">
        <is>
          <t>0,43%</t>
        </is>
      </c>
      <c r="DV239" s="134" t="inlineStr">
        <is>
          <t>5.651</t>
        </is>
      </c>
      <c r="DW239" s="135" t="inlineStr">
        <is>
          <t>28</t>
        </is>
      </c>
      <c r="DX239" s="136" t="inlineStr">
        <is>
          <t>0,50%</t>
        </is>
      </c>
      <c r="DY239" s="137" t="inlineStr">
        <is>
          <t>PitchBook Research</t>
        </is>
      </c>
      <c r="DZ239" s="785">
        <f>HYPERLINK("https://my.pitchbook.com?c=95110-30", "View company online")</f>
      </c>
    </row>
    <row r="240">
      <c r="A240" s="139" t="inlineStr">
        <is>
          <t>162546-58</t>
        </is>
      </c>
      <c r="B240" s="140" t="inlineStr">
        <is>
          <t>FiveAI</t>
        </is>
      </c>
      <c r="C240" s="141" t="inlineStr">
        <is>
          <t/>
        </is>
      </c>
      <c r="D240" s="142" t="inlineStr">
        <is>
          <t/>
        </is>
      </c>
      <c r="E240" s="143" t="inlineStr">
        <is>
          <t>162546-58</t>
        </is>
      </c>
      <c r="F240" s="144" t="inlineStr">
        <is>
          <t>Provider of an autonomous vehicle software designed to build the brains and navigation systems to power the autonomous cars of the future. The company's AI-powered system uses multiple sensors around the vehicle to provide a view of the environment, enabling self-driving cars to navigate all kinds of environments using simpler maps than has traditionally been possible.</t>
        </is>
      </c>
      <c r="G240" s="145" t="inlineStr">
        <is>
          <t>Consumer Products and Services (B2C)</t>
        </is>
      </c>
      <c r="H240" s="146" t="inlineStr">
        <is>
          <t>Transportation</t>
        </is>
      </c>
      <c r="I240" s="147" t="inlineStr">
        <is>
          <t>Automotive</t>
        </is>
      </c>
      <c r="J240" s="148" t="inlineStr">
        <is>
          <t>Automotive*; Vertical Market Software</t>
        </is>
      </c>
      <c r="K240" s="149" t="inlineStr">
        <is>
          <t>Artificial Intelligence &amp; Machine Learning, Autonomous cars, Big Data</t>
        </is>
      </c>
      <c r="L240" s="150" t="inlineStr">
        <is>
          <t>Venture Capital-Backed</t>
        </is>
      </c>
      <c r="M240" s="151" t="n">
        <v>31.8</v>
      </c>
      <c r="N240" s="152" t="inlineStr">
        <is>
          <t>Startup</t>
        </is>
      </c>
      <c r="O240" s="153" t="inlineStr">
        <is>
          <t>Privately Held (backing)</t>
        </is>
      </c>
      <c r="P240" s="154" t="inlineStr">
        <is>
          <t>Venture Capital</t>
        </is>
      </c>
      <c r="Q240" s="155" t="inlineStr">
        <is>
          <t>www.five.ai</t>
        </is>
      </c>
      <c r="R240" s="156" t="inlineStr">
        <is>
          <t/>
        </is>
      </c>
      <c r="S240" s="157" t="inlineStr">
        <is>
          <t/>
        </is>
      </c>
      <c r="T240" s="158" t="inlineStr">
        <is>
          <t/>
        </is>
      </c>
      <c r="U240" s="159" t="n">
        <v>2015.0</v>
      </c>
      <c r="V240" s="160" t="inlineStr">
        <is>
          <t/>
        </is>
      </c>
      <c r="W240" s="161" t="inlineStr">
        <is>
          <t/>
        </is>
      </c>
      <c r="X240" s="162" t="inlineStr">
        <is>
          <t/>
        </is>
      </c>
      <c r="Y240" s="163" t="inlineStr">
        <is>
          <t/>
        </is>
      </c>
      <c r="Z240" s="164" t="inlineStr">
        <is>
          <t/>
        </is>
      </c>
      <c r="AA240" s="165" t="inlineStr">
        <is>
          <t/>
        </is>
      </c>
      <c r="AB240" s="166" t="inlineStr">
        <is>
          <t/>
        </is>
      </c>
      <c r="AC240" s="167" t="inlineStr">
        <is>
          <t/>
        </is>
      </c>
      <c r="AD240" s="168" t="inlineStr">
        <is>
          <t/>
        </is>
      </c>
      <c r="AE240" s="169" t="inlineStr">
        <is>
          <t>30488-05P</t>
        </is>
      </c>
      <c r="AF240" s="170" t="inlineStr">
        <is>
          <t>Stan Boland</t>
        </is>
      </c>
      <c r="AG240" s="171" t="inlineStr">
        <is>
          <t>Chief Executive Officer &amp; Co-Founder</t>
        </is>
      </c>
      <c r="AH240" s="172" t="inlineStr">
        <is>
          <t>stan.boland@fiveai.com</t>
        </is>
      </c>
      <c r="AI240" s="173" t="inlineStr">
        <is>
          <t/>
        </is>
      </c>
      <c r="AJ240" s="174" t="inlineStr">
        <is>
          <t>Bristol, United Kingdom</t>
        </is>
      </c>
      <c r="AK240" s="175" t="inlineStr">
        <is>
          <t>160 Aztec West</t>
        </is>
      </c>
      <c r="AL240" s="176" t="inlineStr">
        <is>
          <t/>
        </is>
      </c>
      <c r="AM240" s="177" t="inlineStr">
        <is>
          <t>Bristol</t>
        </is>
      </c>
      <c r="AN240" s="178" t="inlineStr">
        <is>
          <t>England</t>
        </is>
      </c>
      <c r="AO240" s="179" t="inlineStr">
        <is>
          <t>BS32 4TU</t>
        </is>
      </c>
      <c r="AP240" s="180" t="inlineStr">
        <is>
          <t>United Kingdom</t>
        </is>
      </c>
      <c r="AQ240" s="181" t="inlineStr">
        <is>
          <t/>
        </is>
      </c>
      <c r="AR240" s="182" t="inlineStr">
        <is>
          <t/>
        </is>
      </c>
      <c r="AS240" s="183" t="inlineStr">
        <is>
          <t/>
        </is>
      </c>
      <c r="AT240" s="184" t="inlineStr">
        <is>
          <t>Europe</t>
        </is>
      </c>
      <c r="AU240" s="185" t="inlineStr">
        <is>
          <t>Western Europe</t>
        </is>
      </c>
      <c r="AV240" s="186" t="inlineStr">
        <is>
          <t>The company raised $35 million of Series A venture funding led by Lakestar Capital on September 5, 2017. Notion Capital, Amadeus Capital Partners and Kindred also participated. The company will use the funds to continue to develop and test its solutions. The company also received GBP 12.8 million of grant funding from Government of UK in 2017. The company will use the funding to bring autonomous vehicles to London by 2019.</t>
        </is>
      </c>
      <c r="AW240" s="187" t="inlineStr">
        <is>
          <t>Amadeus Capital Partners, Government of UK, Kindred Capital, Lakestar Capital, Notion Capital</t>
        </is>
      </c>
      <c r="AX240" s="188" t="n">
        <v>5.0</v>
      </c>
      <c r="AY240" s="189" t="inlineStr">
        <is>
          <t/>
        </is>
      </c>
      <c r="AZ240" s="190" t="inlineStr">
        <is>
          <t/>
        </is>
      </c>
      <c r="BA240" s="191" t="inlineStr">
        <is>
          <t/>
        </is>
      </c>
      <c r="BB240" s="192" t="inlineStr">
        <is>
          <t>Amadeus Capital Partners (www.amadeuscapital.com), Government of UK (www.gov.uk), Kindred Capital (www.kindredcapital.vc), Lakestar Capital (www.lakestarcapital.com), Notion Capital (www.notioncapital.com)</t>
        </is>
      </c>
      <c r="BC240" s="193" t="inlineStr">
        <is>
          <t/>
        </is>
      </c>
      <c r="BD240" s="194" t="inlineStr">
        <is>
          <t/>
        </is>
      </c>
      <c r="BE240" s="195" t="inlineStr">
        <is>
          <t>Gunderson Dettmer (Legal Advisor)</t>
        </is>
      </c>
      <c r="BF240" s="196" t="inlineStr">
        <is>
          <t>Gunderson Dettmer (Legal Advisor), Franklin &amp; Hachigian (Legal Advisor)</t>
        </is>
      </c>
      <c r="BG240" s="197" t="n">
        <v>42552.0</v>
      </c>
      <c r="BH240" s="198" t="n">
        <v>2.44</v>
      </c>
      <c r="BI240" s="199" t="inlineStr">
        <is>
          <t>Actual</t>
        </is>
      </c>
      <c r="BJ240" s="200" t="inlineStr">
        <is>
          <t/>
        </is>
      </c>
      <c r="BK240" s="201" t="inlineStr">
        <is>
          <t/>
        </is>
      </c>
      <c r="BL240" s="202" t="inlineStr">
        <is>
          <t>Seed Round</t>
        </is>
      </c>
      <c r="BM240" s="203" t="inlineStr">
        <is>
          <t>Seed</t>
        </is>
      </c>
      <c r="BN240" s="204" t="inlineStr">
        <is>
          <t/>
        </is>
      </c>
      <c r="BO240" s="205" t="inlineStr">
        <is>
          <t>Venture Capital</t>
        </is>
      </c>
      <c r="BP240" s="206" t="inlineStr">
        <is>
          <t/>
        </is>
      </c>
      <c r="BQ240" s="207" t="inlineStr">
        <is>
          <t/>
        </is>
      </c>
      <c r="BR240" s="208" t="inlineStr">
        <is>
          <t/>
        </is>
      </c>
      <c r="BS240" s="209" t="inlineStr">
        <is>
          <t>Completed</t>
        </is>
      </c>
      <c r="BT240" s="210" t="n">
        <v>42983.0</v>
      </c>
      <c r="BU240" s="211" t="n">
        <v>29.36</v>
      </c>
      <c r="BV240" s="212" t="inlineStr">
        <is>
          <t>Actual</t>
        </is>
      </c>
      <c r="BW240" s="213" t="inlineStr">
        <is>
          <t/>
        </is>
      </c>
      <c r="BX240" s="214" t="inlineStr">
        <is>
          <t/>
        </is>
      </c>
      <c r="BY240" s="215" t="inlineStr">
        <is>
          <t>Early Stage VC</t>
        </is>
      </c>
      <c r="BZ240" s="216" t="inlineStr">
        <is>
          <t>Series A</t>
        </is>
      </c>
      <c r="CA240" s="217" t="inlineStr">
        <is>
          <t/>
        </is>
      </c>
      <c r="CB240" s="218" t="inlineStr">
        <is>
          <t>Venture Capital</t>
        </is>
      </c>
      <c r="CC240" s="219" t="inlineStr">
        <is>
          <t/>
        </is>
      </c>
      <c r="CD240" s="220" t="inlineStr">
        <is>
          <t/>
        </is>
      </c>
      <c r="CE240" s="221" t="inlineStr">
        <is>
          <t/>
        </is>
      </c>
      <c r="CF240" s="222" t="inlineStr">
        <is>
          <t>Completed</t>
        </is>
      </c>
      <c r="CG240" s="223" t="inlineStr">
        <is>
          <t>-0,63%</t>
        </is>
      </c>
      <c r="CH240" s="224" t="inlineStr">
        <is>
          <t>17</t>
        </is>
      </c>
      <c r="CI240" s="225" t="inlineStr">
        <is>
          <t>0,05%</t>
        </is>
      </c>
      <c r="CJ240" s="226" t="inlineStr">
        <is>
          <t>7,40%</t>
        </is>
      </c>
      <c r="CK240" s="227" t="inlineStr">
        <is>
          <t>-3,12%</t>
        </is>
      </c>
      <c r="CL240" s="228" t="inlineStr">
        <is>
          <t>11</t>
        </is>
      </c>
      <c r="CM240" s="229" t="inlineStr">
        <is>
          <t>1,86%</t>
        </is>
      </c>
      <c r="CN240" s="230" t="inlineStr">
        <is>
          <t>98</t>
        </is>
      </c>
      <c r="CO240" s="231" t="inlineStr">
        <is>
          <t>-3,12%</t>
        </is>
      </c>
      <c r="CP240" s="232" t="inlineStr">
        <is>
          <t>26</t>
        </is>
      </c>
      <c r="CQ240" s="233" t="inlineStr">
        <is>
          <t/>
        </is>
      </c>
      <c r="CR240" s="234" t="inlineStr">
        <is>
          <t/>
        </is>
      </c>
      <c r="CS240" s="235" t="inlineStr">
        <is>
          <t/>
        </is>
      </c>
      <c r="CT240" s="236" t="inlineStr">
        <is>
          <t/>
        </is>
      </c>
      <c r="CU240" s="237" t="inlineStr">
        <is>
          <t>1,86%</t>
        </is>
      </c>
      <c r="CV240" s="238" t="inlineStr">
        <is>
          <t>99</t>
        </is>
      </c>
      <c r="CW240" s="239" t="inlineStr">
        <is>
          <t>2,59x</t>
        </is>
      </c>
      <c r="CX240" s="240" t="inlineStr">
        <is>
          <t>69</t>
        </is>
      </c>
      <c r="CY240" s="241" t="inlineStr">
        <is>
          <t>0,02x</t>
        </is>
      </c>
      <c r="CZ240" s="242" t="inlineStr">
        <is>
          <t>0,85%</t>
        </is>
      </c>
      <c r="DA240" s="243" t="inlineStr">
        <is>
          <t>1,46x</t>
        </is>
      </c>
      <c r="DB240" s="244" t="inlineStr">
        <is>
          <t>60</t>
        </is>
      </c>
      <c r="DC240" s="245" t="inlineStr">
        <is>
          <t>3,73x</t>
        </is>
      </c>
      <c r="DD240" s="246" t="inlineStr">
        <is>
          <t>72</t>
        </is>
      </c>
      <c r="DE240" s="247" t="inlineStr">
        <is>
          <t>1,46x</t>
        </is>
      </c>
      <c r="DF240" s="248" t="inlineStr">
        <is>
          <t>59</t>
        </is>
      </c>
      <c r="DG240" s="249" t="inlineStr">
        <is>
          <t/>
        </is>
      </c>
      <c r="DH240" s="250" t="inlineStr">
        <is>
          <t/>
        </is>
      </c>
      <c r="DI240" s="251" t="inlineStr">
        <is>
          <t/>
        </is>
      </c>
      <c r="DJ240" s="252" t="inlineStr">
        <is>
          <t/>
        </is>
      </c>
      <c r="DK240" s="253" t="inlineStr">
        <is>
          <t>3,73x</t>
        </is>
      </c>
      <c r="DL240" s="254" t="inlineStr">
        <is>
          <t>75</t>
        </is>
      </c>
      <c r="DM240" s="255" t="inlineStr">
        <is>
          <t>537</t>
        </is>
      </c>
      <c r="DN240" s="256" t="inlineStr">
        <is>
          <t>15</t>
        </is>
      </c>
      <c r="DO240" s="257" t="inlineStr">
        <is>
          <t>2,87%</t>
        </is>
      </c>
      <c r="DP240" s="258" t="inlineStr">
        <is>
          <t/>
        </is>
      </c>
      <c r="DQ240" s="259" t="inlineStr">
        <is>
          <t/>
        </is>
      </c>
      <c r="DR240" s="260" t="inlineStr">
        <is>
          <t/>
        </is>
      </c>
      <c r="DS240" s="261" t="inlineStr">
        <is>
          <t/>
        </is>
      </c>
      <c r="DT240" s="262" t="inlineStr">
        <is>
          <t/>
        </is>
      </c>
      <c r="DU240" s="263" t="inlineStr">
        <is>
          <t/>
        </is>
      </c>
      <c r="DV240" s="264" t="inlineStr">
        <is>
          <t>1.384</t>
        </is>
      </c>
      <c r="DW240" s="265" t="inlineStr">
        <is>
          <t>27</t>
        </is>
      </c>
      <c r="DX240" s="266" t="inlineStr">
        <is>
          <t>1,99%</t>
        </is>
      </c>
      <c r="DY240" s="267" t="inlineStr">
        <is>
          <t>PitchBook Research</t>
        </is>
      </c>
      <c r="DZ240" s="786">
        <f>HYPERLINK("https://my.pitchbook.com?c=162546-58", "View company online")</f>
      </c>
    </row>
    <row r="241">
      <c r="A241" s="9" t="inlineStr">
        <is>
          <t>64829-53</t>
        </is>
      </c>
      <c r="B241" s="10" t="inlineStr">
        <is>
          <t>Book a Tiger</t>
        </is>
      </c>
      <c r="C241" s="11" t="inlineStr">
        <is>
          <t/>
        </is>
      </c>
      <c r="D241" s="12" t="inlineStr">
        <is>
          <t>Bookatiger</t>
        </is>
      </c>
      <c r="E241" s="13" t="inlineStr">
        <is>
          <t>64829-53</t>
        </is>
      </c>
      <c r="F241" s="14" t="inlineStr">
        <is>
          <t>Provider of an online cleaning services platform designed to find and book personal cleaning experts. The company's online cleaning services platform matches private and business customers with interviewed, background-checked and tested professional cleaners, enabling customers to have access to customized cleaning options.</t>
        </is>
      </c>
      <c r="G241" s="15" t="inlineStr">
        <is>
          <t>Consumer Products and Services (B2C)</t>
        </is>
      </c>
      <c r="H241" s="16" t="inlineStr">
        <is>
          <t>Services (Non-Financial)</t>
        </is>
      </c>
      <c r="I241" s="17" t="inlineStr">
        <is>
          <t>Other Services (B2C Non-Financial)</t>
        </is>
      </c>
      <c r="J241" s="18" t="inlineStr">
        <is>
          <t>Other Services (B2C Non-Financial)*; Social/Platform Software</t>
        </is>
      </c>
      <c r="K241" s="19" t="inlineStr">
        <is>
          <t>Mobile</t>
        </is>
      </c>
      <c r="L241" s="20" t="inlineStr">
        <is>
          <t>Venture Capital-Backed</t>
        </is>
      </c>
      <c r="M241" s="21" t="n">
        <v>32.06</v>
      </c>
      <c r="N241" s="22" t="inlineStr">
        <is>
          <t>Generating Revenue</t>
        </is>
      </c>
      <c r="O241" s="23" t="inlineStr">
        <is>
          <t>Privately Held (backing)</t>
        </is>
      </c>
      <c r="P241" s="24" t="inlineStr">
        <is>
          <t>Venture Capital</t>
        </is>
      </c>
      <c r="Q241" s="25" t="inlineStr">
        <is>
          <t>www.bookatiger.com</t>
        </is>
      </c>
      <c r="R241" s="26" t="n">
        <v>1000.0</v>
      </c>
      <c r="S241" s="27" t="inlineStr">
        <is>
          <t/>
        </is>
      </c>
      <c r="T241" s="28" t="inlineStr">
        <is>
          <t/>
        </is>
      </c>
      <c r="U241" s="29" t="n">
        <v>2014.0</v>
      </c>
      <c r="V241" s="30" t="inlineStr">
        <is>
          <t/>
        </is>
      </c>
      <c r="W241" s="31" t="inlineStr">
        <is>
          <t/>
        </is>
      </c>
      <c r="X241" s="32" t="inlineStr">
        <is>
          <t/>
        </is>
      </c>
      <c r="Y241" s="33" t="inlineStr">
        <is>
          <t/>
        </is>
      </c>
      <c r="Z241" s="34" t="inlineStr">
        <is>
          <t/>
        </is>
      </c>
      <c r="AA241" s="35" t="inlineStr">
        <is>
          <t/>
        </is>
      </c>
      <c r="AB241" s="36" t="inlineStr">
        <is>
          <t/>
        </is>
      </c>
      <c r="AC241" s="37" t="inlineStr">
        <is>
          <t/>
        </is>
      </c>
      <c r="AD241" s="38" t="inlineStr">
        <is>
          <t/>
        </is>
      </c>
      <c r="AE241" s="39" t="inlineStr">
        <is>
          <t>51056-74P</t>
        </is>
      </c>
      <c r="AF241" s="40" t="inlineStr">
        <is>
          <t>Nikita Fahrenholz</t>
        </is>
      </c>
      <c r="AG241" s="41" t="inlineStr">
        <is>
          <t>Chief Executive Officer &amp; Co-Founder</t>
        </is>
      </c>
      <c r="AH241" s="42" t="inlineStr">
        <is>
          <t>nikita@bookatiger.com</t>
        </is>
      </c>
      <c r="AI241" s="43" t="inlineStr">
        <is>
          <t>+49 (0)30 3080 7263</t>
        </is>
      </c>
      <c r="AJ241" s="44" t="inlineStr">
        <is>
          <t>Berlin, Germany</t>
        </is>
      </c>
      <c r="AK241" s="45" t="inlineStr">
        <is>
          <t>Brückenstraße 5a</t>
        </is>
      </c>
      <c r="AL241" s="46" t="inlineStr">
        <is>
          <t/>
        </is>
      </c>
      <c r="AM241" s="47" t="inlineStr">
        <is>
          <t>Berlin</t>
        </is>
      </c>
      <c r="AN241" s="48" t="inlineStr">
        <is>
          <t/>
        </is>
      </c>
      <c r="AO241" s="49" t="inlineStr">
        <is>
          <t>10179</t>
        </is>
      </c>
      <c r="AP241" s="50" t="inlineStr">
        <is>
          <t>Germany</t>
        </is>
      </c>
      <c r="AQ241" s="51" t="inlineStr">
        <is>
          <t>+49 (0)30 3080 7263</t>
        </is>
      </c>
      <c r="AR241" s="52" t="inlineStr">
        <is>
          <t/>
        </is>
      </c>
      <c r="AS241" s="53" t="inlineStr">
        <is>
          <t>kontakt@bookatiger.com</t>
        </is>
      </c>
      <c r="AT241" s="54" t="inlineStr">
        <is>
          <t>Europe</t>
        </is>
      </c>
      <c r="AU241" s="55" t="inlineStr">
        <is>
          <t>Western Europe</t>
        </is>
      </c>
      <c r="AV241" s="56" t="inlineStr">
        <is>
          <t>The company raised EUR 8 million of Series B venture funding through a combination of debt and equity on November 16, 2017. EUR 4 million of Series B venture funding was provided by DN Capital, Target Global and Atami Capital. A EUR 4 million loan was provided by Davidson Technology Growth. The funding will be used to further develop the platform with a particular focus on the B2B side of its business as well as expanding into new international markets.</t>
        </is>
      </c>
      <c r="AW241" s="57" t="inlineStr">
        <is>
          <t>Atami Capital, Avala Capital, Cavalry Ventures, Claude Ritter, Coller Capital, DCM Startups, DN Capital, German Media Pool, German Startups Group, Tamedia, Target Global, WestTech Ventures</t>
        </is>
      </c>
      <c r="AX241" s="58" t="n">
        <v>12.0</v>
      </c>
      <c r="AY241" s="59" t="inlineStr">
        <is>
          <t/>
        </is>
      </c>
      <c r="AZ241" s="60" t="inlineStr">
        <is>
          <t/>
        </is>
      </c>
      <c r="BA241" s="61" t="inlineStr">
        <is>
          <t/>
        </is>
      </c>
      <c r="BB241" s="62" t="inlineStr">
        <is>
          <t>Atami Capital (www.atamicapital.co.uk), Avala Capital (www.avalacapital.com), Cavalry Ventures (www.cavalry.vc), Claude Ritter (www.pico.vc), Coller Capital (www.collercapital.com), DN Capital (www.dncapital.com), German Media Pool (www.germanmediapool.com), German Startups Group (www.german-startups.com), Tamedia (www.tamedia.ch), Target Global (www.targetglobal.vc), WestTech Ventures (www.westtechventures.de)</t>
        </is>
      </c>
      <c r="BC241" s="63" t="inlineStr">
        <is>
          <t/>
        </is>
      </c>
      <c r="BD241" s="64" t="inlineStr">
        <is>
          <t/>
        </is>
      </c>
      <c r="BE241" s="65" t="inlineStr">
        <is>
          <t/>
        </is>
      </c>
      <c r="BF241" s="66" t="inlineStr">
        <is>
          <t>Davidson Technology Growth Debt (Debt Financing)</t>
        </is>
      </c>
      <c r="BG241" s="67" t="n">
        <v>41830.0</v>
      </c>
      <c r="BH241" s="68" t="inlineStr">
        <is>
          <t/>
        </is>
      </c>
      <c r="BI241" s="69" t="inlineStr">
        <is>
          <t/>
        </is>
      </c>
      <c r="BJ241" s="70" t="inlineStr">
        <is>
          <t/>
        </is>
      </c>
      <c r="BK241" s="71" t="inlineStr">
        <is>
          <t/>
        </is>
      </c>
      <c r="BL241" s="72" t="inlineStr">
        <is>
          <t>Seed Round</t>
        </is>
      </c>
      <c r="BM241" s="73" t="inlineStr">
        <is>
          <t>Seed</t>
        </is>
      </c>
      <c r="BN241" s="74" t="inlineStr">
        <is>
          <t/>
        </is>
      </c>
      <c r="BO241" s="75" t="inlineStr">
        <is>
          <t>Venture Capital</t>
        </is>
      </c>
      <c r="BP241" s="76" t="inlineStr">
        <is>
          <t/>
        </is>
      </c>
      <c r="BQ241" s="77" t="inlineStr">
        <is>
          <t/>
        </is>
      </c>
      <c r="BR241" s="78" t="inlineStr">
        <is>
          <t/>
        </is>
      </c>
      <c r="BS241" s="79" t="inlineStr">
        <is>
          <t>Completed</t>
        </is>
      </c>
      <c r="BT241" s="80" t="n">
        <v>43055.0</v>
      </c>
      <c r="BU241" s="81" t="n">
        <v>8.0</v>
      </c>
      <c r="BV241" s="82" t="inlineStr">
        <is>
          <t>Actual</t>
        </is>
      </c>
      <c r="BW241" s="83" t="inlineStr">
        <is>
          <t/>
        </is>
      </c>
      <c r="BX241" s="84" t="inlineStr">
        <is>
          <t/>
        </is>
      </c>
      <c r="BY241" s="85" t="inlineStr">
        <is>
          <t>Early Stage VC</t>
        </is>
      </c>
      <c r="BZ241" s="86" t="inlineStr">
        <is>
          <t>Series B</t>
        </is>
      </c>
      <c r="CA241" s="87" t="inlineStr">
        <is>
          <t/>
        </is>
      </c>
      <c r="CB241" s="88" t="inlineStr">
        <is>
          <t>Venture Capital</t>
        </is>
      </c>
      <c r="CC241" s="89" t="inlineStr">
        <is>
          <t>Loan</t>
        </is>
      </c>
      <c r="CD241" s="90" t="inlineStr">
        <is>
          <t/>
        </is>
      </c>
      <c r="CE241" s="91" t="inlineStr">
        <is>
          <t/>
        </is>
      </c>
      <c r="CF241" s="92" t="inlineStr">
        <is>
          <t>Completed</t>
        </is>
      </c>
      <c r="CG241" s="93" t="inlineStr">
        <is>
          <t>-6,19%</t>
        </is>
      </c>
      <c r="CH241" s="94" t="inlineStr">
        <is>
          <t>3</t>
        </is>
      </c>
      <c r="CI241" s="95" t="inlineStr">
        <is>
          <t>0,01%</t>
        </is>
      </c>
      <c r="CJ241" s="96" t="inlineStr">
        <is>
          <t>0,17%</t>
        </is>
      </c>
      <c r="CK241" s="97" t="inlineStr">
        <is>
          <t>-12,41%</t>
        </is>
      </c>
      <c r="CL241" s="98" t="inlineStr">
        <is>
          <t>2</t>
        </is>
      </c>
      <c r="CM241" s="99" t="inlineStr">
        <is>
          <t>0,04%</t>
        </is>
      </c>
      <c r="CN241" s="100" t="inlineStr">
        <is>
          <t>48</t>
        </is>
      </c>
      <c r="CO241" s="101" t="inlineStr">
        <is>
          <t>-24,65%</t>
        </is>
      </c>
      <c r="CP241" s="102" t="inlineStr">
        <is>
          <t>3</t>
        </is>
      </c>
      <c r="CQ241" s="103" t="inlineStr">
        <is>
          <t>-0,18%</t>
        </is>
      </c>
      <c r="CR241" s="104" t="inlineStr">
        <is>
          <t>19</t>
        </is>
      </c>
      <c r="CS241" s="105" t="inlineStr">
        <is>
          <t>-0,07%</t>
        </is>
      </c>
      <c r="CT241" s="106" t="inlineStr">
        <is>
          <t>5</t>
        </is>
      </c>
      <c r="CU241" s="107" t="inlineStr">
        <is>
          <t>0,14%</t>
        </is>
      </c>
      <c r="CV241" s="108" t="inlineStr">
        <is>
          <t>71</t>
        </is>
      </c>
      <c r="CW241" s="109" t="inlineStr">
        <is>
          <t>28,15x</t>
        </is>
      </c>
      <c r="CX241" s="110" t="inlineStr">
        <is>
          <t>94</t>
        </is>
      </c>
      <c r="CY241" s="111" t="inlineStr">
        <is>
          <t>-0,21x</t>
        </is>
      </c>
      <c r="CZ241" s="112" t="inlineStr">
        <is>
          <t>-0,75%</t>
        </is>
      </c>
      <c r="DA241" s="113" t="inlineStr">
        <is>
          <t>7,18x</t>
        </is>
      </c>
      <c r="DB241" s="114" t="inlineStr">
        <is>
          <t>86</t>
        </is>
      </c>
      <c r="DC241" s="115" t="inlineStr">
        <is>
          <t>49,13x</t>
        </is>
      </c>
      <c r="DD241" s="116" t="inlineStr">
        <is>
          <t>94</t>
        </is>
      </c>
      <c r="DE241" s="117" t="inlineStr">
        <is>
          <t>0,57x</t>
        </is>
      </c>
      <c r="DF241" s="118" t="inlineStr">
        <is>
          <t>37</t>
        </is>
      </c>
      <c r="DG241" s="119" t="inlineStr">
        <is>
          <t>13,78x</t>
        </is>
      </c>
      <c r="DH241" s="120" t="inlineStr">
        <is>
          <t>90</t>
        </is>
      </c>
      <c r="DI241" s="121" t="inlineStr">
        <is>
          <t>97,29x</t>
        </is>
      </c>
      <c r="DJ241" s="122" t="inlineStr">
        <is>
          <t>95</t>
        </is>
      </c>
      <c r="DK241" s="123" t="inlineStr">
        <is>
          <t>0,97x</t>
        </is>
      </c>
      <c r="DL241" s="124" t="inlineStr">
        <is>
          <t>50</t>
        </is>
      </c>
      <c r="DM241" s="125" t="inlineStr">
        <is>
          <t>219</t>
        </is>
      </c>
      <c r="DN241" s="126" t="inlineStr">
        <is>
          <t>-32</t>
        </is>
      </c>
      <c r="DO241" s="127" t="inlineStr">
        <is>
          <t>-12,75%</t>
        </is>
      </c>
      <c r="DP241" s="128" t="inlineStr">
        <is>
          <t>77.076</t>
        </is>
      </c>
      <c r="DQ241" s="129" t="inlineStr">
        <is>
          <t>-47</t>
        </is>
      </c>
      <c r="DR241" s="130" t="inlineStr">
        <is>
          <t>-0,06%</t>
        </is>
      </c>
      <c r="DS241" s="131" t="inlineStr">
        <is>
          <t>496</t>
        </is>
      </c>
      <c r="DT241" s="132" t="inlineStr">
        <is>
          <t>-1</t>
        </is>
      </c>
      <c r="DU241" s="133" t="inlineStr">
        <is>
          <t>-0,20%</t>
        </is>
      </c>
      <c r="DV241" s="134" t="inlineStr">
        <is>
          <t>361</t>
        </is>
      </c>
      <c r="DW241" s="135" t="inlineStr">
        <is>
          <t>0</t>
        </is>
      </c>
      <c r="DX241" s="136" t="inlineStr">
        <is>
          <t>0,00%</t>
        </is>
      </c>
      <c r="DY241" s="137" t="inlineStr">
        <is>
          <t>PitchBook Research</t>
        </is>
      </c>
      <c r="DZ241" s="785">
        <f>HYPERLINK("https://my.pitchbook.com?c=64829-53", "View company online")</f>
      </c>
    </row>
    <row r="242">
      <c r="A242" s="139" t="inlineStr">
        <is>
          <t>99039-79</t>
        </is>
      </c>
      <c r="B242" s="140" t="inlineStr">
        <is>
          <t>Natural Cycles</t>
        </is>
      </c>
      <c r="C242" s="141" t="inlineStr">
        <is>
          <t/>
        </is>
      </c>
      <c r="D242" s="142" t="inlineStr">
        <is>
          <t/>
        </is>
      </c>
      <c r="E242" s="143" t="inlineStr">
        <is>
          <t>99039-79</t>
        </is>
      </c>
      <c r="F242" s="144" t="inlineStr">
        <is>
          <t>Provider of a mobile based fertility tracking application designed to empower woman with knowledge about her body, menstrual cycle and fertility. The company's fertility tracking application is an algorithm based system that detects and predicts ovulation, fertility, sperm survival, temperature fluctuations, past cycles and cycle irregularities into account, enabling women aged between 25 to 5 years to plan their pregnancy with natural contraception.</t>
        </is>
      </c>
      <c r="G242" s="145" t="inlineStr">
        <is>
          <t>Information Technology</t>
        </is>
      </c>
      <c r="H242" s="146" t="inlineStr">
        <is>
          <t>Software</t>
        </is>
      </c>
      <c r="I242" s="147" t="inlineStr">
        <is>
          <t>Application Software</t>
        </is>
      </c>
      <c r="J242" s="148" t="inlineStr">
        <is>
          <t>Application Software*; Other Healthcare Services</t>
        </is>
      </c>
      <c r="K242" s="149" t="inlineStr">
        <is>
          <t>HealthTech, Mobile</t>
        </is>
      </c>
      <c r="L242" s="150" t="inlineStr">
        <is>
          <t>Venture Capital-Backed</t>
        </is>
      </c>
      <c r="M242" s="151" t="n">
        <v>32.52</v>
      </c>
      <c r="N242" s="152" t="inlineStr">
        <is>
          <t>Generating Revenue/Not Profitable</t>
        </is>
      </c>
      <c r="O242" s="153" t="inlineStr">
        <is>
          <t>Privately Held (backing)</t>
        </is>
      </c>
      <c r="P242" s="154" t="inlineStr">
        <is>
          <t>Venture Capital</t>
        </is>
      </c>
      <c r="Q242" s="155" t="inlineStr">
        <is>
          <t>www.naturalcycles.com</t>
        </is>
      </c>
      <c r="R242" s="156" t="n">
        <v>40.0</v>
      </c>
      <c r="S242" s="157" t="inlineStr">
        <is>
          <t/>
        </is>
      </c>
      <c r="T242" s="158" t="inlineStr">
        <is>
          <t/>
        </is>
      </c>
      <c r="U242" s="159" t="n">
        <v>2013.0</v>
      </c>
      <c r="V242" s="160" t="inlineStr">
        <is>
          <t/>
        </is>
      </c>
      <c r="W242" s="161" t="inlineStr">
        <is>
          <t/>
        </is>
      </c>
      <c r="X242" s="162" t="inlineStr">
        <is>
          <r>
            <rPr>
              <b/>
              <color rgb="ff26854d"/>
              <rFont val="Arial"/>
              <sz val="8.0"/>
            </rPr>
            <t>News</t>
          </r>
          <r>
            <rPr>
              <color rgb="ff707070"/>
              <rFont val="Arial"/>
              <sz val="7.0"/>
            </rPr>
            <t xml:space="preserve"> NEW  </t>
          </r>
        </is>
      </c>
      <c r="Y242" s="163" t="n">
        <v>1.52723</v>
      </c>
      <c r="Z242" s="164" t="inlineStr">
        <is>
          <t/>
        </is>
      </c>
      <c r="AA242" s="165" t="n">
        <v>-0.36995</v>
      </c>
      <c r="AB242" s="166" t="inlineStr">
        <is>
          <t/>
        </is>
      </c>
      <c r="AC242" s="167" t="n">
        <v>-0.36046</v>
      </c>
      <c r="AD242" s="168" t="inlineStr">
        <is>
          <t>FY 2016</t>
        </is>
      </c>
      <c r="AE242" s="169" t="inlineStr">
        <is>
          <t>96211-63P</t>
        </is>
      </c>
      <c r="AF242" s="170" t="inlineStr">
        <is>
          <t>Raoul Scherwitzl</t>
        </is>
      </c>
      <c r="AG242" s="171" t="inlineStr">
        <is>
          <t>Co-Founder &amp; Chief Executive Officer</t>
        </is>
      </c>
      <c r="AH242" s="172" t="inlineStr">
        <is>
          <t>raoul@naturalcycles.com</t>
        </is>
      </c>
      <c r="AI242" s="173" t="inlineStr">
        <is>
          <t/>
        </is>
      </c>
      <c r="AJ242" s="174" t="inlineStr">
        <is>
          <t>Stockholm, Sweden</t>
        </is>
      </c>
      <c r="AK242" s="175" t="inlineStr">
        <is>
          <t>Luntmakargatan 26</t>
        </is>
      </c>
      <c r="AL242" s="176" t="inlineStr">
        <is>
          <t/>
        </is>
      </c>
      <c r="AM242" s="177" t="inlineStr">
        <is>
          <t>Stockholm</t>
        </is>
      </c>
      <c r="AN242" s="178" t="inlineStr">
        <is>
          <t/>
        </is>
      </c>
      <c r="AO242" s="179" t="inlineStr">
        <is>
          <t>111 37</t>
        </is>
      </c>
      <c r="AP242" s="180" t="inlineStr">
        <is>
          <t>Sweden</t>
        </is>
      </c>
      <c r="AQ242" s="181" t="inlineStr">
        <is>
          <t/>
        </is>
      </c>
      <c r="AR242" s="182" t="inlineStr">
        <is>
          <t/>
        </is>
      </c>
      <c r="AS242" s="183" t="inlineStr">
        <is>
          <t>info@naturalcycles.com</t>
        </is>
      </c>
      <c r="AT242" s="184" t="inlineStr">
        <is>
          <t>Europe</t>
        </is>
      </c>
      <c r="AU242" s="185" t="inlineStr">
        <is>
          <t>Northern Europe</t>
        </is>
      </c>
      <c r="AV242" s="186" t="inlineStr">
        <is>
          <t>The company raised $30 million of Series B venture funding in a deal led by EQT Ventures on November 9, 2017. Sunstone Capital, E-ventures and Bonnier Growth Media also participated in the round. The funds will be used for clinical research and product development and growing the team with additional recruits from medicine and science.</t>
        </is>
      </c>
      <c r="AW242" s="187" t="inlineStr">
        <is>
          <t>Bonnier Growth Media, e.ventures, EQT Ventures, Isabella Löwengrip, Mattias Miksche, Sunstone Capital</t>
        </is>
      </c>
      <c r="AX242" s="188" t="n">
        <v>6.0</v>
      </c>
      <c r="AY242" s="189" t="inlineStr">
        <is>
          <t/>
        </is>
      </c>
      <c r="AZ242" s="190" t="inlineStr">
        <is>
          <t/>
        </is>
      </c>
      <c r="BA242" s="191" t="inlineStr">
        <is>
          <t/>
        </is>
      </c>
      <c r="BB242" s="192" t="inlineStr">
        <is>
          <t>Bonnier Growth Media (www.bonniergrowthmedia.com), e.ventures (www.eventures.vc), EQT Ventures (www.eqtventures.com), Sunstone Capital (www.sunstone.eu)</t>
        </is>
      </c>
      <c r="BC242" s="193" t="inlineStr">
        <is>
          <t/>
        </is>
      </c>
      <c r="BD242" s="194" t="inlineStr">
        <is>
          <t/>
        </is>
      </c>
      <c r="BE242" s="195" t="inlineStr">
        <is>
          <t/>
        </is>
      </c>
      <c r="BF242" s="196" t="inlineStr">
        <is>
          <t/>
        </is>
      </c>
      <c r="BG242" s="197" t="n">
        <v>41426.0</v>
      </c>
      <c r="BH242" s="198" t="n">
        <v>0.38</v>
      </c>
      <c r="BI242" s="199" t="inlineStr">
        <is>
          <t>Actual</t>
        </is>
      </c>
      <c r="BJ242" s="200" t="inlineStr">
        <is>
          <t/>
        </is>
      </c>
      <c r="BK242" s="201" t="inlineStr">
        <is>
          <t/>
        </is>
      </c>
      <c r="BL242" s="202" t="inlineStr">
        <is>
          <t>Angel (individual)</t>
        </is>
      </c>
      <c r="BM242" s="203" t="inlineStr">
        <is>
          <t>Angel</t>
        </is>
      </c>
      <c r="BN242" s="204" t="inlineStr">
        <is>
          <t/>
        </is>
      </c>
      <c r="BO242" s="205" t="inlineStr">
        <is>
          <t>Individual</t>
        </is>
      </c>
      <c r="BP242" s="206" t="inlineStr">
        <is>
          <t/>
        </is>
      </c>
      <c r="BQ242" s="207" t="inlineStr">
        <is>
          <t/>
        </is>
      </c>
      <c r="BR242" s="208" t="inlineStr">
        <is>
          <t/>
        </is>
      </c>
      <c r="BS242" s="209" t="inlineStr">
        <is>
          <t>Completed</t>
        </is>
      </c>
      <c r="BT242" s="210" t="n">
        <v>43048.0</v>
      </c>
      <c r="BU242" s="211" t="n">
        <v>25.51</v>
      </c>
      <c r="BV242" s="212" t="inlineStr">
        <is>
          <t>Actual</t>
        </is>
      </c>
      <c r="BW242" s="213" t="inlineStr">
        <is>
          <t/>
        </is>
      </c>
      <c r="BX242" s="214" t="inlineStr">
        <is>
          <t/>
        </is>
      </c>
      <c r="BY242" s="215" t="inlineStr">
        <is>
          <t>Early Stage VC</t>
        </is>
      </c>
      <c r="BZ242" s="216" t="inlineStr">
        <is>
          <t>Series B</t>
        </is>
      </c>
      <c r="CA242" s="217" t="inlineStr">
        <is>
          <t/>
        </is>
      </c>
      <c r="CB242" s="218" t="inlineStr">
        <is>
          <t>Venture Capital</t>
        </is>
      </c>
      <c r="CC242" s="219" t="inlineStr">
        <is>
          <t/>
        </is>
      </c>
      <c r="CD242" s="220" t="inlineStr">
        <is>
          <t/>
        </is>
      </c>
      <c r="CE242" s="221" t="inlineStr">
        <is>
          <t/>
        </is>
      </c>
      <c r="CF242" s="222" t="inlineStr">
        <is>
          <t>Completed</t>
        </is>
      </c>
      <c r="CG242" s="223" t="inlineStr">
        <is>
          <t>0,88%</t>
        </is>
      </c>
      <c r="CH242" s="224" t="inlineStr">
        <is>
          <t>94</t>
        </is>
      </c>
      <c r="CI242" s="225" t="inlineStr">
        <is>
          <t>-0,04%</t>
        </is>
      </c>
      <c r="CJ242" s="226" t="inlineStr">
        <is>
          <t>-4,04%</t>
        </is>
      </c>
      <c r="CK242" s="227" t="inlineStr">
        <is>
          <t>-7,78%</t>
        </is>
      </c>
      <c r="CL242" s="228" t="inlineStr">
        <is>
          <t>5</t>
        </is>
      </c>
      <c r="CM242" s="229" t="inlineStr">
        <is>
          <t>1,23%</t>
        </is>
      </c>
      <c r="CN242" s="230" t="inlineStr">
        <is>
          <t>97</t>
        </is>
      </c>
      <c r="CO242" s="231" t="inlineStr">
        <is>
          <t>-15,95%</t>
        </is>
      </c>
      <c r="CP242" s="232" t="inlineStr">
        <is>
          <t>8</t>
        </is>
      </c>
      <c r="CQ242" s="233" t="inlineStr">
        <is>
          <t>0,38%</t>
        </is>
      </c>
      <c r="CR242" s="234" t="inlineStr">
        <is>
          <t>91</t>
        </is>
      </c>
      <c r="CS242" s="235" t="inlineStr">
        <is>
          <t>1,23%</t>
        </is>
      </c>
      <c r="CT242" s="236" t="inlineStr">
        <is>
          <t>96</t>
        </is>
      </c>
      <c r="CU242" s="237" t="inlineStr">
        <is>
          <t/>
        </is>
      </c>
      <c r="CV242" s="238" t="inlineStr">
        <is>
          <t/>
        </is>
      </c>
      <c r="CW242" s="239" t="inlineStr">
        <is>
          <t>30,31x</t>
        </is>
      </c>
      <c r="CX242" s="240" t="inlineStr">
        <is>
          <t>95</t>
        </is>
      </c>
      <c r="CY242" s="241" t="inlineStr">
        <is>
          <t>0,38x</t>
        </is>
      </c>
      <c r="CZ242" s="242" t="inlineStr">
        <is>
          <t>1,26%</t>
        </is>
      </c>
      <c r="DA242" s="243" t="inlineStr">
        <is>
          <t>20,69x</t>
        </is>
      </c>
      <c r="DB242" s="244" t="inlineStr">
        <is>
          <t>94</t>
        </is>
      </c>
      <c r="DC242" s="245" t="inlineStr">
        <is>
          <t>85,84x</t>
        </is>
      </c>
      <c r="DD242" s="246" t="inlineStr">
        <is>
          <t>96</t>
        </is>
      </c>
      <c r="DE242" s="247" t="inlineStr">
        <is>
          <t>12,79x</t>
        </is>
      </c>
      <c r="DF242" s="248" t="inlineStr">
        <is>
          <t>90</t>
        </is>
      </c>
      <c r="DG242" s="249" t="inlineStr">
        <is>
          <t>28,58x</t>
        </is>
      </c>
      <c r="DH242" s="250" t="inlineStr">
        <is>
          <t>95</t>
        </is>
      </c>
      <c r="DI242" s="251" t="inlineStr">
        <is>
          <t>85,84x</t>
        </is>
      </c>
      <c r="DJ242" s="252" t="inlineStr">
        <is>
          <t>94</t>
        </is>
      </c>
      <c r="DK242" s="253" t="inlineStr">
        <is>
          <t/>
        </is>
      </c>
      <c r="DL242" s="254" t="inlineStr">
        <is>
          <t/>
        </is>
      </c>
      <c r="DM242" s="255" t="inlineStr">
        <is>
          <t>4.726</t>
        </is>
      </c>
      <c r="DN242" s="256" t="inlineStr">
        <is>
          <t>95</t>
        </is>
      </c>
      <c r="DO242" s="257" t="inlineStr">
        <is>
          <t>2,05%</t>
        </is>
      </c>
      <c r="DP242" s="258" t="inlineStr">
        <is>
          <t>67.752</t>
        </is>
      </c>
      <c r="DQ242" s="259" t="inlineStr">
        <is>
          <t>651</t>
        </is>
      </c>
      <c r="DR242" s="260" t="inlineStr">
        <is>
          <t>0,97%</t>
        </is>
      </c>
      <c r="DS242" s="261" t="inlineStr">
        <is>
          <t>1.027</t>
        </is>
      </c>
      <c r="DT242" s="262" t="inlineStr">
        <is>
          <t>4</t>
        </is>
      </c>
      <c r="DU242" s="263" t="inlineStr">
        <is>
          <t>0,39%</t>
        </is>
      </c>
      <c r="DV242" s="264" t="inlineStr">
        <is>
          <t>1.737</t>
        </is>
      </c>
      <c r="DW242" s="265" t="inlineStr">
        <is>
          <t>26</t>
        </is>
      </c>
      <c r="DX242" s="266" t="inlineStr">
        <is>
          <t>1,52%</t>
        </is>
      </c>
      <c r="DY242" s="267" t="inlineStr">
        <is>
          <t>PitchBook Research</t>
        </is>
      </c>
      <c r="DZ242" s="786">
        <f>HYPERLINK("https://my.pitchbook.com?c=99039-79", "View company online")</f>
      </c>
    </row>
    <row r="243">
      <c r="A243" s="9" t="inlineStr">
        <is>
          <t>91659-16</t>
        </is>
      </c>
      <c r="B243" s="10" t="inlineStr">
        <is>
          <t>Shift Technology</t>
        </is>
      </c>
      <c r="C243" s="11" t="inlineStr">
        <is>
          <t/>
        </is>
      </c>
      <c r="D243" s="12" t="inlineStr">
        <is>
          <t/>
        </is>
      </c>
      <c r="E243" s="13" t="inlineStr">
        <is>
          <t>91659-16</t>
        </is>
      </c>
      <c r="F243" s="14" t="inlineStr">
        <is>
          <t>Developer of a data security platform intended to improve the insurance claims process. The company's data security platform includes Force™, a decision support platform uses SaaS, enabling insurers across the globe to automate fraud detection processes and lower costs per claim.</t>
        </is>
      </c>
      <c r="G243" s="15" t="inlineStr">
        <is>
          <t>Information Technology</t>
        </is>
      </c>
      <c r="H243" s="16" t="inlineStr">
        <is>
          <t>Software</t>
        </is>
      </c>
      <c r="I243" s="17" t="inlineStr">
        <is>
          <t>Financial Software</t>
        </is>
      </c>
      <c r="J243" s="18" t="inlineStr">
        <is>
          <t>Financial Software*; Other Insurance; Business/Productivity Software</t>
        </is>
      </c>
      <c r="K243" s="19" t="inlineStr">
        <is>
          <t>InsurTech, SaaS</t>
        </is>
      </c>
      <c r="L243" s="20" t="inlineStr">
        <is>
          <t>Venture Capital-Backed</t>
        </is>
      </c>
      <c r="M243" s="21" t="n">
        <v>34.05</v>
      </c>
      <c r="N243" s="22" t="inlineStr">
        <is>
          <t>Generating Revenue</t>
        </is>
      </c>
      <c r="O243" s="23" t="inlineStr">
        <is>
          <t>Privately Held (backing)</t>
        </is>
      </c>
      <c r="P243" s="24" t="inlineStr">
        <is>
          <t>Venture Capital</t>
        </is>
      </c>
      <c r="Q243" s="25" t="inlineStr">
        <is>
          <t>www.shift-technology.com</t>
        </is>
      </c>
      <c r="R243" s="26" t="n">
        <v>60.0</v>
      </c>
      <c r="S243" s="27" t="inlineStr">
        <is>
          <t/>
        </is>
      </c>
      <c r="T243" s="28" t="inlineStr">
        <is>
          <t/>
        </is>
      </c>
      <c r="U243" s="29" t="n">
        <v>2014.0</v>
      </c>
      <c r="V243" s="30" t="inlineStr">
        <is>
          <t/>
        </is>
      </c>
      <c r="W243" s="31" t="inlineStr">
        <is>
          <t/>
        </is>
      </c>
      <c r="X243" s="32" t="inlineStr">
        <is>
          <t/>
        </is>
      </c>
      <c r="Y243" s="33" t="inlineStr">
        <is>
          <t/>
        </is>
      </c>
      <c r="Z243" s="34" t="inlineStr">
        <is>
          <t/>
        </is>
      </c>
      <c r="AA243" s="35" t="inlineStr">
        <is>
          <t/>
        </is>
      </c>
      <c r="AB243" s="36" t="inlineStr">
        <is>
          <t/>
        </is>
      </c>
      <c r="AC243" s="37" t="inlineStr">
        <is>
          <t/>
        </is>
      </c>
      <c r="AD243" s="38" t="inlineStr">
        <is>
          <t/>
        </is>
      </c>
      <c r="AE243" s="39" t="inlineStr">
        <is>
          <t>86709-34P</t>
        </is>
      </c>
      <c r="AF243" s="40" t="inlineStr">
        <is>
          <t>Jeremy Jawish</t>
        </is>
      </c>
      <c r="AG243" s="41" t="inlineStr">
        <is>
          <t>Co-Founder &amp; Chief Executive Officer</t>
        </is>
      </c>
      <c r="AH243" s="42" t="inlineStr">
        <is>
          <t>jeremy.jawish@shift-technology.com</t>
        </is>
      </c>
      <c r="AI243" s="43" t="inlineStr">
        <is>
          <t>+33 (0)1 86 95 22 82</t>
        </is>
      </c>
      <c r="AJ243" s="44" t="inlineStr">
        <is>
          <t>Paris, France</t>
        </is>
      </c>
      <c r="AK243" s="45" t="inlineStr">
        <is>
          <t>130 rue de Lourmel</t>
        </is>
      </c>
      <c r="AL243" s="46" t="inlineStr">
        <is>
          <t/>
        </is>
      </c>
      <c r="AM243" s="47" t="inlineStr">
        <is>
          <t>Paris</t>
        </is>
      </c>
      <c r="AN243" s="48" t="inlineStr">
        <is>
          <t/>
        </is>
      </c>
      <c r="AO243" s="49" t="inlineStr">
        <is>
          <t>75015</t>
        </is>
      </c>
      <c r="AP243" s="50" t="inlineStr">
        <is>
          <t>France</t>
        </is>
      </c>
      <c r="AQ243" s="51" t="inlineStr">
        <is>
          <t>+33 (0)1 86 95 22 82</t>
        </is>
      </c>
      <c r="AR243" s="52" t="inlineStr">
        <is>
          <t/>
        </is>
      </c>
      <c r="AS243" s="53" t="inlineStr">
        <is>
          <t>contact@shift-technology.com</t>
        </is>
      </c>
      <c r="AT243" s="54" t="inlineStr">
        <is>
          <t>Europe</t>
        </is>
      </c>
      <c r="AU243" s="55" t="inlineStr">
        <is>
          <t>Western Europe</t>
        </is>
      </c>
      <c r="AV243" s="56" t="inlineStr">
        <is>
          <t>The company raised $28 million of Series B venture funding in a deal led by Accel and General Catalyst Partners on October 23, 2017. Iris Capital Management and Elaia Partners also participated in the round. The funds will be used to open offices in New York and Tokyo in Q1 2018, bolster the team and build out the product scaling new fraud detection products for Life Insurance and Workers' Compensation.</t>
        </is>
      </c>
      <c r="AW243" s="57" t="inlineStr">
        <is>
          <t>Accel, Agoranov, Elaia Partners, General Catalyst Partners, Iris Capital Management, Microsoft Accelerator, Paris&amp;Co Incubateurs</t>
        </is>
      </c>
      <c r="AX243" s="58" t="n">
        <v>7.0</v>
      </c>
      <c r="AY243" s="59" t="inlineStr">
        <is>
          <t/>
        </is>
      </c>
      <c r="AZ243" s="60" t="inlineStr">
        <is>
          <t/>
        </is>
      </c>
      <c r="BA243" s="61" t="inlineStr">
        <is>
          <t/>
        </is>
      </c>
      <c r="BB243" s="62" t="inlineStr">
        <is>
          <t>Accel (www.accel.com), Agoranov (www.agoranov.com), Elaia Partners (www.elaia.com), General Catalyst Partners (www.generalcatalyst.com), Iris Capital Management (www.iriscapital.com), Microsoft Accelerator (www.microsoftaccelerator.com), Paris&amp;Co Incubateurs (www.incubateurs.parisandco.com)</t>
        </is>
      </c>
      <c r="BC243" s="63" t="inlineStr">
        <is>
          <t/>
        </is>
      </c>
      <c r="BD243" s="64" t="inlineStr">
        <is>
          <t/>
        </is>
      </c>
      <c r="BE243" s="65" t="inlineStr">
        <is>
          <t/>
        </is>
      </c>
      <c r="BF243" s="66" t="inlineStr">
        <is>
          <t/>
        </is>
      </c>
      <c r="BG243" s="67" t="inlineStr">
        <is>
          <t/>
        </is>
      </c>
      <c r="BH243" s="68" t="inlineStr">
        <is>
          <t/>
        </is>
      </c>
      <c r="BI243" s="69" t="inlineStr">
        <is>
          <t/>
        </is>
      </c>
      <c r="BJ243" s="70" t="inlineStr">
        <is>
          <t/>
        </is>
      </c>
      <c r="BK243" s="71" t="inlineStr">
        <is>
          <t/>
        </is>
      </c>
      <c r="BL243" s="72" t="inlineStr">
        <is>
          <t>Accelerator/Incubator</t>
        </is>
      </c>
      <c r="BM243" s="73" t="inlineStr">
        <is>
          <t/>
        </is>
      </c>
      <c r="BN243" s="74" t="inlineStr">
        <is>
          <t/>
        </is>
      </c>
      <c r="BO243" s="75" t="inlineStr">
        <is>
          <t>Other</t>
        </is>
      </c>
      <c r="BP243" s="76" t="inlineStr">
        <is>
          <t/>
        </is>
      </c>
      <c r="BQ243" s="77" t="inlineStr">
        <is>
          <t/>
        </is>
      </c>
      <c r="BR243" s="78" t="inlineStr">
        <is>
          <t/>
        </is>
      </c>
      <c r="BS243" s="79" t="inlineStr">
        <is>
          <t>Completed</t>
        </is>
      </c>
      <c r="BT243" s="80" t="n">
        <v>43031.0</v>
      </c>
      <c r="BU243" s="81" t="n">
        <v>23.81</v>
      </c>
      <c r="BV243" s="82" t="inlineStr">
        <is>
          <t>Actual</t>
        </is>
      </c>
      <c r="BW243" s="83" t="inlineStr">
        <is>
          <t/>
        </is>
      </c>
      <c r="BX243" s="84" t="inlineStr">
        <is>
          <t/>
        </is>
      </c>
      <c r="BY243" s="85" t="inlineStr">
        <is>
          <t>Early Stage VC</t>
        </is>
      </c>
      <c r="BZ243" s="86" t="inlineStr">
        <is>
          <t>Series B</t>
        </is>
      </c>
      <c r="CA243" s="87" t="inlineStr">
        <is>
          <t/>
        </is>
      </c>
      <c r="CB243" s="88" t="inlineStr">
        <is>
          <t>Venture Capital</t>
        </is>
      </c>
      <c r="CC243" s="89" t="inlineStr">
        <is>
          <t/>
        </is>
      </c>
      <c r="CD243" s="90" t="inlineStr">
        <is>
          <t/>
        </is>
      </c>
      <c r="CE243" s="91" t="inlineStr">
        <is>
          <t/>
        </is>
      </c>
      <c r="CF243" s="92" t="inlineStr">
        <is>
          <t>Completed</t>
        </is>
      </c>
      <c r="CG243" s="93" t="inlineStr">
        <is>
          <t>1,86%</t>
        </is>
      </c>
      <c r="CH243" s="94" t="inlineStr">
        <is>
          <t>97</t>
        </is>
      </c>
      <c r="CI243" s="95" t="inlineStr">
        <is>
          <t>-0,11%</t>
        </is>
      </c>
      <c r="CJ243" s="96" t="inlineStr">
        <is>
          <t>-5,65%</t>
        </is>
      </c>
      <c r="CK243" s="97" t="inlineStr">
        <is>
          <t>2,01%</t>
        </is>
      </c>
      <c r="CL243" s="98" t="inlineStr">
        <is>
          <t>97</t>
        </is>
      </c>
      <c r="CM243" s="99" t="inlineStr">
        <is>
          <t>2,94%</t>
        </is>
      </c>
      <c r="CN243" s="100" t="inlineStr">
        <is>
          <t>99</t>
        </is>
      </c>
      <c r="CO243" s="101" t="inlineStr">
        <is>
          <t>-0,45%</t>
        </is>
      </c>
      <c r="CP243" s="102" t="inlineStr">
        <is>
          <t>35</t>
        </is>
      </c>
      <c r="CQ243" s="103" t="inlineStr">
        <is>
          <t>4,47%</t>
        </is>
      </c>
      <c r="CR243" s="104" t="inlineStr">
        <is>
          <t>98</t>
        </is>
      </c>
      <c r="CS243" s="105" t="inlineStr">
        <is>
          <t>2,23%</t>
        </is>
      </c>
      <c r="CT243" s="106" t="inlineStr">
        <is>
          <t>98</t>
        </is>
      </c>
      <c r="CU243" s="107" t="inlineStr">
        <is>
          <t>3,64%</t>
        </is>
      </c>
      <c r="CV243" s="108" t="inlineStr">
        <is>
          <t>100</t>
        </is>
      </c>
      <c r="CW243" s="109" t="inlineStr">
        <is>
          <t>1,56x</t>
        </is>
      </c>
      <c r="CX243" s="110" t="inlineStr">
        <is>
          <t>59</t>
        </is>
      </c>
      <c r="CY243" s="111" t="inlineStr">
        <is>
          <t>-0,10x</t>
        </is>
      </c>
      <c r="CZ243" s="112" t="inlineStr">
        <is>
          <t>-6,09%</t>
        </is>
      </c>
      <c r="DA243" s="113" t="inlineStr">
        <is>
          <t>3,82x</t>
        </is>
      </c>
      <c r="DB243" s="114" t="inlineStr">
        <is>
          <t>77</t>
        </is>
      </c>
      <c r="DC243" s="115" t="inlineStr">
        <is>
          <t>0,64x</t>
        </is>
      </c>
      <c r="DD243" s="116" t="inlineStr">
        <is>
          <t>40</t>
        </is>
      </c>
      <c r="DE243" s="117" t="inlineStr">
        <is>
          <t>0,75x</t>
        </is>
      </c>
      <c r="DF243" s="118" t="inlineStr">
        <is>
          <t>43</t>
        </is>
      </c>
      <c r="DG243" s="119" t="inlineStr">
        <is>
          <t>6,89x</t>
        </is>
      </c>
      <c r="DH243" s="120" t="inlineStr">
        <is>
          <t>83</t>
        </is>
      </c>
      <c r="DI243" s="121" t="inlineStr">
        <is>
          <t>0,19x</t>
        </is>
      </c>
      <c r="DJ243" s="122" t="inlineStr">
        <is>
          <t>23</t>
        </is>
      </c>
      <c r="DK243" s="123" t="inlineStr">
        <is>
          <t>1,08x</t>
        </is>
      </c>
      <c r="DL243" s="124" t="inlineStr">
        <is>
          <t>52</t>
        </is>
      </c>
      <c r="DM243" s="125" t="inlineStr">
        <is>
          <t>270</t>
        </is>
      </c>
      <c r="DN243" s="126" t="inlineStr">
        <is>
          <t>40</t>
        </is>
      </c>
      <c r="DO243" s="127" t="inlineStr">
        <is>
          <t>17,39%</t>
        </is>
      </c>
      <c r="DP243" s="128" t="inlineStr">
        <is>
          <t>154</t>
        </is>
      </c>
      <c r="DQ243" s="129" t="inlineStr">
        <is>
          <t>1</t>
        </is>
      </c>
      <c r="DR243" s="130" t="inlineStr">
        <is>
          <t>0,65%</t>
        </is>
      </c>
      <c r="DS243" s="131" t="inlineStr">
        <is>
          <t>244</t>
        </is>
      </c>
      <c r="DT243" s="132" t="inlineStr">
        <is>
          <t>10</t>
        </is>
      </c>
      <c r="DU243" s="133" t="inlineStr">
        <is>
          <t>4,27%</t>
        </is>
      </c>
      <c r="DV243" s="134" t="inlineStr">
        <is>
          <t>400</t>
        </is>
      </c>
      <c r="DW243" s="135" t="inlineStr">
        <is>
          <t>10</t>
        </is>
      </c>
      <c r="DX243" s="136" t="inlineStr">
        <is>
          <t>2,56%</t>
        </is>
      </c>
      <c r="DY243" s="137" t="inlineStr">
        <is>
          <t>PitchBook Research</t>
        </is>
      </c>
      <c r="DZ243" s="785">
        <f>HYPERLINK("https://my.pitchbook.com?c=91659-16", "View company online")</f>
      </c>
    </row>
    <row r="244">
      <c r="A244" s="139" t="inlineStr">
        <is>
          <t>89297-92</t>
        </is>
      </c>
      <c r="B244" s="140" t="inlineStr">
        <is>
          <t>Glovo</t>
        </is>
      </c>
      <c r="C244" s="141" t="inlineStr">
        <is>
          <t/>
        </is>
      </c>
      <c r="D244" s="142" t="inlineStr">
        <is>
          <t/>
        </is>
      </c>
      <c r="E244" s="143" t="inlineStr">
        <is>
          <t>89297-92</t>
        </is>
      </c>
      <c r="F244" s="144" t="inlineStr">
        <is>
          <t>Provider of an on-demand delivery application designed to order and deliver things withing the city. The company's on-demand delivery application delivers products to customers, utilizing a fleet of independent couriers who collect goods from any restaurant or store and also deliver urgent packages for a fixed fee, enabling users to order and deliver products from the local shops withing the city.</t>
        </is>
      </c>
      <c r="G244" s="145" t="inlineStr">
        <is>
          <t>Consumer Products and Services (B2C)</t>
        </is>
      </c>
      <c r="H244" s="146" t="inlineStr">
        <is>
          <t>Services (Non-Financial)</t>
        </is>
      </c>
      <c r="I244" s="147" t="inlineStr">
        <is>
          <t>Other Services (B2C Non-Financial)</t>
        </is>
      </c>
      <c r="J244" s="148" t="inlineStr">
        <is>
          <t>Other Services (B2C Non-Financial)*; Application Software</t>
        </is>
      </c>
      <c r="K244" s="149" t="inlineStr">
        <is>
          <t>Mobile</t>
        </is>
      </c>
      <c r="L244" s="150" t="inlineStr">
        <is>
          <t>Venture Capital-Backed</t>
        </is>
      </c>
      <c r="M244" s="151" t="n">
        <v>37.16</v>
      </c>
      <c r="N244" s="152" t="inlineStr">
        <is>
          <t>Generating Revenue</t>
        </is>
      </c>
      <c r="O244" s="153" t="inlineStr">
        <is>
          <t>Privately Held (backing)</t>
        </is>
      </c>
      <c r="P244" s="154" t="inlineStr">
        <is>
          <t>Venture Capital</t>
        </is>
      </c>
      <c r="Q244" s="155" t="inlineStr">
        <is>
          <t>www.glovoapp.com</t>
        </is>
      </c>
      <c r="R244" s="156" t="n">
        <v>38.0</v>
      </c>
      <c r="S244" s="157" t="inlineStr">
        <is>
          <t/>
        </is>
      </c>
      <c r="T244" s="158" t="inlineStr">
        <is>
          <t/>
        </is>
      </c>
      <c r="U244" s="159" t="n">
        <v>2014.0</v>
      </c>
      <c r="V244" s="160" t="inlineStr">
        <is>
          <t/>
        </is>
      </c>
      <c r="W244" s="161" t="inlineStr">
        <is>
          <t/>
        </is>
      </c>
      <c r="X244" s="162" t="inlineStr">
        <is>
          <t/>
        </is>
      </c>
      <c r="Y244" s="163" t="n">
        <v>0.11025</v>
      </c>
      <c r="Z244" s="164" t="inlineStr">
        <is>
          <t/>
        </is>
      </c>
      <c r="AA244" s="165" t="n">
        <v>-0.62474</v>
      </c>
      <c r="AB244" s="166" t="inlineStr">
        <is>
          <t/>
        </is>
      </c>
      <c r="AC244" s="167" t="n">
        <v>-0.7993</v>
      </c>
      <c r="AD244" s="168" t="inlineStr">
        <is>
          <t>FY 2015</t>
        </is>
      </c>
      <c r="AE244" s="169" t="inlineStr">
        <is>
          <t>120647-62P</t>
        </is>
      </c>
      <c r="AF244" s="170" t="inlineStr">
        <is>
          <t>Oscar Pierre</t>
        </is>
      </c>
      <c r="AG244" s="171" t="inlineStr">
        <is>
          <t>Co-Founder &amp; Chief Executive Officer</t>
        </is>
      </c>
      <c r="AH244" s="172" t="inlineStr">
        <is>
          <t>oscar@glovoapp.com</t>
        </is>
      </c>
      <c r="AI244" s="173" t="inlineStr">
        <is>
          <t>+34 93 269 4744</t>
        </is>
      </c>
      <c r="AJ244" s="174" t="inlineStr">
        <is>
          <t>Barcelona, Spain</t>
        </is>
      </c>
      <c r="AK244" s="175" t="inlineStr">
        <is>
          <t>C Pallars 85-91</t>
        </is>
      </c>
      <c r="AL244" s="176" t="inlineStr">
        <is>
          <t>Building 4, Ground Floor</t>
        </is>
      </c>
      <c r="AM244" s="177" t="inlineStr">
        <is>
          <t>Barcelona</t>
        </is>
      </c>
      <c r="AN244" s="178" t="inlineStr">
        <is>
          <t/>
        </is>
      </c>
      <c r="AO244" s="179" t="inlineStr">
        <is>
          <t>08018</t>
        </is>
      </c>
      <c r="AP244" s="180" t="inlineStr">
        <is>
          <t>Spain</t>
        </is>
      </c>
      <c r="AQ244" s="181" t="inlineStr">
        <is>
          <t>+34 93 269 4744</t>
        </is>
      </c>
      <c r="AR244" s="182" t="inlineStr">
        <is>
          <t/>
        </is>
      </c>
      <c r="AS244" s="183" t="inlineStr">
        <is>
          <t>toktok@glovoapp.com</t>
        </is>
      </c>
      <c r="AT244" s="184" t="inlineStr">
        <is>
          <t>Europe</t>
        </is>
      </c>
      <c r="AU244" s="185" t="inlineStr">
        <is>
          <t>Southern Europe</t>
        </is>
      </c>
      <c r="AV244" s="186" t="inlineStr">
        <is>
          <t>The company raised around EUR 30 million of Series B venture funding in a deal co-led by Rakuten Capital and Cathay Innovation on September 29, 2017, putting the company's valuation around EUR 70 million. Follow on Seaya Ventures, Entreé Capital, Caixa Capital Risk, Bonsai Venture Capital, Antai Venture Builder and other undisclosed investors also participated in the round. Along with the funding, some business angels also sold all their shares in the company. The funds will be used to strengthen the company's market position, expand its business reach, develop its platform, continue to invest in their technology platform and to optimize the synergy between the three pillars of the marketplace i.e. users, glovers and stores.</t>
        </is>
      </c>
      <c r="AW244" s="187" t="inlineStr">
        <is>
          <t>Antai Venture Builder, Bernardo Hernandez, Bonsai Venture Capital, Caixa Capital Risc, Cathay Innovation, Conector Startup Accelerator, Entrée Capital, Keyword Venture Capital, Media Digital Ventures, Rakuten Capital, Seaya Ventures, The Crowd Angel, Zaryn Dentzel</t>
        </is>
      </c>
      <c r="AX244" s="188" t="n">
        <v>13.0</v>
      </c>
      <c r="AY244" s="189" t="inlineStr">
        <is>
          <t/>
        </is>
      </c>
      <c r="AZ244" s="190" t="inlineStr">
        <is>
          <t/>
        </is>
      </c>
      <c r="BA244" s="191" t="inlineStr">
        <is>
          <t/>
        </is>
      </c>
      <c r="BB244" s="192" t="inlineStr">
        <is>
          <t>Antai Venture Builder (www.antaivb.com), Bernardo Hernandez (www.bernardohernandez.com), Bonsai Venture Capital (www.bonsaiventurecapital.com), Caixa Capital Risc (www.caixacapitalrisc.es), Cathay Innovation (www.cathayinnovation.com), Conector Startup Accelerator (www.conector.com), Entrée Capital (www.entreecap.com), Keyword Venture Capital (www.keyword.vc), Media Digital Ventures (www.mediadigitalventures.com), Rakuten Capital (capital.rakuten.com), Seaya Ventures (www.seayaventures.com), The Crowd Angel (www.thecrowdangel.com)</t>
        </is>
      </c>
      <c r="BC244" s="193" t="inlineStr">
        <is>
          <t/>
        </is>
      </c>
      <c r="BD244" s="194" t="inlineStr">
        <is>
          <t/>
        </is>
      </c>
      <c r="BE244" s="195" t="inlineStr">
        <is>
          <t/>
        </is>
      </c>
      <c r="BF244" s="196" t="inlineStr">
        <is>
          <t/>
        </is>
      </c>
      <c r="BG244" s="197" t="n">
        <v>42040.0</v>
      </c>
      <c r="BH244" s="198" t="n">
        <v>0.14</v>
      </c>
      <c r="BI244" s="199" t="inlineStr">
        <is>
          <t>Actual</t>
        </is>
      </c>
      <c r="BJ244" s="200" t="inlineStr">
        <is>
          <t/>
        </is>
      </c>
      <c r="BK244" s="201" t="inlineStr">
        <is>
          <t/>
        </is>
      </c>
      <c r="BL244" s="202" t="inlineStr">
        <is>
          <t>Angel (individual)</t>
        </is>
      </c>
      <c r="BM244" s="203" t="inlineStr">
        <is>
          <t>Angel</t>
        </is>
      </c>
      <c r="BN244" s="204" t="inlineStr">
        <is>
          <t/>
        </is>
      </c>
      <c r="BO244" s="205" t="inlineStr">
        <is>
          <t>Individual</t>
        </is>
      </c>
      <c r="BP244" s="206" t="inlineStr">
        <is>
          <t/>
        </is>
      </c>
      <c r="BQ244" s="207" t="inlineStr">
        <is>
          <t/>
        </is>
      </c>
      <c r="BR244" s="208" t="inlineStr">
        <is>
          <t/>
        </is>
      </c>
      <c r="BS244" s="209" t="inlineStr">
        <is>
          <t>Completed</t>
        </is>
      </c>
      <c r="BT244" s="210" t="n">
        <v>43007.0</v>
      </c>
      <c r="BU244" s="211" t="n">
        <v>30.0</v>
      </c>
      <c r="BV244" s="212" t="inlineStr">
        <is>
          <t>Estimated</t>
        </is>
      </c>
      <c r="BW244" s="213" t="n">
        <v>70.0</v>
      </c>
      <c r="BX244" s="214" t="inlineStr">
        <is>
          <t>Estimated</t>
        </is>
      </c>
      <c r="BY244" s="215" t="inlineStr">
        <is>
          <t>Early Stage VC</t>
        </is>
      </c>
      <c r="BZ244" s="216" t="inlineStr">
        <is>
          <t>Series B</t>
        </is>
      </c>
      <c r="CA244" s="217" t="inlineStr">
        <is>
          <t/>
        </is>
      </c>
      <c r="CB244" s="218" t="inlineStr">
        <is>
          <t>Venture Capital</t>
        </is>
      </c>
      <c r="CC244" s="219" t="inlineStr">
        <is>
          <t/>
        </is>
      </c>
      <c r="CD244" s="220" t="inlineStr">
        <is>
          <t/>
        </is>
      </c>
      <c r="CE244" s="221" t="inlineStr">
        <is>
          <t/>
        </is>
      </c>
      <c r="CF244" s="222" t="inlineStr">
        <is>
          <t>Completed</t>
        </is>
      </c>
      <c r="CG244" s="223" t="inlineStr">
        <is>
          <t>-13,73%</t>
        </is>
      </c>
      <c r="CH244" s="224" t="inlineStr">
        <is>
          <t>1</t>
        </is>
      </c>
      <c r="CI244" s="225" t="inlineStr">
        <is>
          <t>0,07%</t>
        </is>
      </c>
      <c r="CJ244" s="226" t="inlineStr">
        <is>
          <t>0,48%</t>
        </is>
      </c>
      <c r="CK244" s="227" t="inlineStr">
        <is>
          <t>-28,39%</t>
        </is>
      </c>
      <c r="CL244" s="228" t="inlineStr">
        <is>
          <t>1</t>
        </is>
      </c>
      <c r="CM244" s="229" t="inlineStr">
        <is>
          <t>0,94%</t>
        </is>
      </c>
      <c r="CN244" s="230" t="inlineStr">
        <is>
          <t>95</t>
        </is>
      </c>
      <c r="CO244" s="231" t="inlineStr">
        <is>
          <t>-28,39%</t>
        </is>
      </c>
      <c r="CP244" s="232" t="inlineStr">
        <is>
          <t>2</t>
        </is>
      </c>
      <c r="CQ244" s="233" t="inlineStr">
        <is>
          <t/>
        </is>
      </c>
      <c r="CR244" s="234" t="inlineStr">
        <is>
          <t/>
        </is>
      </c>
      <c r="CS244" s="235" t="inlineStr">
        <is>
          <t>1,41%</t>
        </is>
      </c>
      <c r="CT244" s="236" t="inlineStr">
        <is>
          <t>97</t>
        </is>
      </c>
      <c r="CU244" s="237" t="inlineStr">
        <is>
          <t>0,46%</t>
        </is>
      </c>
      <c r="CV244" s="238" t="inlineStr">
        <is>
          <t>90</t>
        </is>
      </c>
      <c r="CW244" s="239" t="inlineStr">
        <is>
          <t>24,01x</t>
        </is>
      </c>
      <c r="CX244" s="240" t="inlineStr">
        <is>
          <t>94</t>
        </is>
      </c>
      <c r="CY244" s="241" t="inlineStr">
        <is>
          <t>0,22x</t>
        </is>
      </c>
      <c r="CZ244" s="242" t="inlineStr">
        <is>
          <t>0,92%</t>
        </is>
      </c>
      <c r="DA244" s="243" t="inlineStr">
        <is>
          <t>1,45x</t>
        </is>
      </c>
      <c r="DB244" s="244" t="inlineStr">
        <is>
          <t>60</t>
        </is>
      </c>
      <c r="DC244" s="245" t="inlineStr">
        <is>
          <t>46,58x</t>
        </is>
      </c>
      <c r="DD244" s="246" t="inlineStr">
        <is>
          <t>94</t>
        </is>
      </c>
      <c r="DE244" s="247" t="inlineStr">
        <is>
          <t>1,45x</t>
        </is>
      </c>
      <c r="DF244" s="248" t="inlineStr">
        <is>
          <t>59</t>
        </is>
      </c>
      <c r="DG244" s="249" t="inlineStr">
        <is>
          <t/>
        </is>
      </c>
      <c r="DH244" s="250" t="inlineStr">
        <is>
          <t/>
        </is>
      </c>
      <c r="DI244" s="251" t="inlineStr">
        <is>
          <t>58,03x</t>
        </is>
      </c>
      <c r="DJ244" s="252" t="inlineStr">
        <is>
          <t>93</t>
        </is>
      </c>
      <c r="DK244" s="253" t="inlineStr">
        <is>
          <t>35,12x</t>
        </is>
      </c>
      <c r="DL244" s="254" t="inlineStr">
        <is>
          <t>95</t>
        </is>
      </c>
      <c r="DM244" s="255" t="inlineStr">
        <is>
          <t>536</t>
        </is>
      </c>
      <c r="DN244" s="256" t="inlineStr">
        <is>
          <t>8</t>
        </is>
      </c>
      <c r="DO244" s="257" t="inlineStr">
        <is>
          <t>1,52%</t>
        </is>
      </c>
      <c r="DP244" s="258" t="inlineStr">
        <is>
          <t>45.492</t>
        </is>
      </c>
      <c r="DQ244" s="259" t="inlineStr">
        <is>
          <t>1.280</t>
        </is>
      </c>
      <c r="DR244" s="260" t="inlineStr">
        <is>
          <t>2,90%</t>
        </is>
      </c>
      <c r="DS244" s="261" t="inlineStr">
        <is>
          <t/>
        </is>
      </c>
      <c r="DT244" s="262" t="inlineStr">
        <is>
          <t/>
        </is>
      </c>
      <c r="DU244" s="263" t="inlineStr">
        <is>
          <t/>
        </is>
      </c>
      <c r="DV244" s="264" t="inlineStr">
        <is>
          <t>13.115</t>
        </is>
      </c>
      <c r="DW244" s="265" t="inlineStr">
        <is>
          <t>64</t>
        </is>
      </c>
      <c r="DX244" s="266" t="inlineStr">
        <is>
          <t>0,49%</t>
        </is>
      </c>
      <c r="DY244" s="267" t="inlineStr">
        <is>
          <t>PitchBook Research</t>
        </is>
      </c>
      <c r="DZ244" s="786">
        <f>HYPERLINK("https://my.pitchbook.com?c=89297-92", "View company online")</f>
      </c>
    </row>
    <row r="245">
      <c r="A245" s="9" t="inlineStr">
        <is>
          <t>169924-96</t>
        </is>
      </c>
      <c r="B245" s="10" t="inlineStr">
        <is>
          <t>Ada Health</t>
        </is>
      </c>
      <c r="C245" s="11" t="inlineStr">
        <is>
          <t/>
        </is>
      </c>
      <c r="D245" s="12" t="inlineStr">
        <is>
          <t>Ada</t>
        </is>
      </c>
      <c r="E245" s="13" t="inlineStr">
        <is>
          <t>169924-96</t>
        </is>
      </c>
      <c r="F245" s="14" t="inlineStr">
        <is>
          <t>Developer of a virtual health companion application designed to empower doctors to work from where they are located. The company's virtual health companion application uses personalized questions about users' health to provide them assessment of their symptoms and also offers online video consultations with healthcare professionals, disease monitoring and prevention through integration of different data sources such as sensors and lab tests along with keeping a digital health record of the users, enabling them to keep an overview of their health situation.</t>
        </is>
      </c>
      <c r="G245" s="15" t="inlineStr">
        <is>
          <t>Healthcare</t>
        </is>
      </c>
      <c r="H245" s="16" t="inlineStr">
        <is>
          <t>Healthcare Technology Systems</t>
        </is>
      </c>
      <c r="I245" s="17" t="inlineStr">
        <is>
          <t>Other Healthcare Technology Systems</t>
        </is>
      </c>
      <c r="J245" s="18" t="inlineStr">
        <is>
          <t>Other Healthcare Technology Systems*; Application Software</t>
        </is>
      </c>
      <c r="K245" s="19" t="inlineStr">
        <is>
          <t>HealthTech, Mobile</t>
        </is>
      </c>
      <c r="L245" s="20" t="inlineStr">
        <is>
          <t>Venture Capital-Backed</t>
        </is>
      </c>
      <c r="M245" s="21" t="n">
        <v>39.97</v>
      </c>
      <c r="N245" s="22" t="inlineStr">
        <is>
          <t>Generating Revenue</t>
        </is>
      </c>
      <c r="O245" s="23" t="inlineStr">
        <is>
          <t>Privately Held (backing)</t>
        </is>
      </c>
      <c r="P245" s="24" t="inlineStr">
        <is>
          <t>Venture Capital</t>
        </is>
      </c>
      <c r="Q245" s="25" t="inlineStr">
        <is>
          <t>www.ada.com</t>
        </is>
      </c>
      <c r="R245" s="26" t="n">
        <v>100.0</v>
      </c>
      <c r="S245" s="27" t="inlineStr">
        <is>
          <t/>
        </is>
      </c>
      <c r="T245" s="28" t="inlineStr">
        <is>
          <t/>
        </is>
      </c>
      <c r="U245" s="29" t="n">
        <v>2006.0</v>
      </c>
      <c r="V245" s="30" t="inlineStr">
        <is>
          <t/>
        </is>
      </c>
      <c r="W245" s="31" t="inlineStr">
        <is>
          <t/>
        </is>
      </c>
      <c r="X245" s="32" t="inlineStr">
        <is>
          <t/>
        </is>
      </c>
      <c r="Y245" s="33" t="inlineStr">
        <is>
          <t/>
        </is>
      </c>
      <c r="Z245" s="34" t="inlineStr">
        <is>
          <t/>
        </is>
      </c>
      <c r="AA245" s="35" t="inlineStr">
        <is>
          <t/>
        </is>
      </c>
      <c r="AB245" s="36" t="inlineStr">
        <is>
          <t/>
        </is>
      </c>
      <c r="AC245" s="37" t="inlineStr">
        <is>
          <t/>
        </is>
      </c>
      <c r="AD245" s="38" t="inlineStr">
        <is>
          <t/>
        </is>
      </c>
      <c r="AE245" s="39" t="inlineStr">
        <is>
          <t>155226-52P</t>
        </is>
      </c>
      <c r="AF245" s="40" t="inlineStr">
        <is>
          <t>Daniel Nathrath</t>
        </is>
      </c>
      <c r="AG245" s="41" t="inlineStr">
        <is>
          <t>Co-Founder &amp; Chief Executive Officer</t>
        </is>
      </c>
      <c r="AH245" s="42" t="inlineStr">
        <is>
          <t>daniel.nathrath@ada.com</t>
        </is>
      </c>
      <c r="AI245" s="43" t="inlineStr">
        <is>
          <t/>
        </is>
      </c>
      <c r="AJ245" s="44" t="inlineStr">
        <is>
          <t>Berlin, Germany</t>
        </is>
      </c>
      <c r="AK245" s="45" t="inlineStr">
        <is>
          <t>Adalbertstraße 20</t>
        </is>
      </c>
      <c r="AL245" s="46" t="inlineStr">
        <is>
          <t/>
        </is>
      </c>
      <c r="AM245" s="47" t="inlineStr">
        <is>
          <t>Berlin</t>
        </is>
      </c>
      <c r="AN245" s="48" t="inlineStr">
        <is>
          <t/>
        </is>
      </c>
      <c r="AO245" s="49" t="inlineStr">
        <is>
          <t>10997</t>
        </is>
      </c>
      <c r="AP245" s="50" t="inlineStr">
        <is>
          <t>Germany</t>
        </is>
      </c>
      <c r="AQ245" s="51" t="inlineStr">
        <is>
          <t/>
        </is>
      </c>
      <c r="AR245" s="52" t="inlineStr">
        <is>
          <t/>
        </is>
      </c>
      <c r="AS245" s="53" t="inlineStr">
        <is>
          <t>info@ada.com</t>
        </is>
      </c>
      <c r="AT245" s="54" t="inlineStr">
        <is>
          <t>Europe</t>
        </is>
      </c>
      <c r="AU245" s="55" t="inlineStr">
        <is>
          <t>Western Europe</t>
        </is>
      </c>
      <c r="AV245" s="56" t="inlineStr">
        <is>
          <t>The company joined German Accelerator as part of the accelerator program, and received an undisclosed amount in funding. Earlier, the company raised $47 million of Series A venture funding in a deal led by Access Industries on October 31, 2017. June Fund, Cumberland VC and William Tunstall-Pedoe also participated in the round.</t>
        </is>
      </c>
      <c r="AW245" s="57" t="inlineStr">
        <is>
          <t>Access Industries, Cumberland VC, German Accelerator, Horizon 2020, June Fund, William Tunstall-Pedoe</t>
        </is>
      </c>
      <c r="AX245" s="58" t="n">
        <v>6.0</v>
      </c>
      <c r="AY245" s="59" t="inlineStr">
        <is>
          <t/>
        </is>
      </c>
      <c r="AZ245" s="60" t="inlineStr">
        <is>
          <t/>
        </is>
      </c>
      <c r="BA245" s="61" t="inlineStr">
        <is>
          <t/>
        </is>
      </c>
      <c r="BB245" s="62" t="inlineStr">
        <is>
          <t>Access Industries (www.accessindustries.com), Cumberland VC (www.cumberland.vc), German Accelerator (www.germanaccelerator.com), June Fund (www.june.fund)</t>
        </is>
      </c>
      <c r="BC245" s="63" t="inlineStr">
        <is>
          <t/>
        </is>
      </c>
      <c r="BD245" s="64" t="inlineStr">
        <is>
          <t/>
        </is>
      </c>
      <c r="BE245" s="65" t="inlineStr">
        <is>
          <t/>
        </is>
      </c>
      <c r="BF245" s="66" t="inlineStr">
        <is>
          <t/>
        </is>
      </c>
      <c r="BG245" s="67" t="inlineStr">
        <is>
          <t/>
        </is>
      </c>
      <c r="BH245" s="68" t="inlineStr">
        <is>
          <t/>
        </is>
      </c>
      <c r="BI245" s="69" t="inlineStr">
        <is>
          <t/>
        </is>
      </c>
      <c r="BJ245" s="70" t="inlineStr">
        <is>
          <t/>
        </is>
      </c>
      <c r="BK245" s="71" t="inlineStr">
        <is>
          <t/>
        </is>
      </c>
      <c r="BL245" s="72" t="inlineStr">
        <is>
          <t>Angel (individual)</t>
        </is>
      </c>
      <c r="BM245" s="73" t="inlineStr">
        <is>
          <t>Angel</t>
        </is>
      </c>
      <c r="BN245" s="74" t="inlineStr">
        <is>
          <t/>
        </is>
      </c>
      <c r="BO245" s="75" t="inlineStr">
        <is>
          <t>Individual</t>
        </is>
      </c>
      <c r="BP245" s="76" t="inlineStr">
        <is>
          <t/>
        </is>
      </c>
      <c r="BQ245" s="77" t="inlineStr">
        <is>
          <t/>
        </is>
      </c>
      <c r="BR245" s="78" t="inlineStr">
        <is>
          <t/>
        </is>
      </c>
      <c r="BS245" s="79" t="inlineStr">
        <is>
          <t>Completed</t>
        </is>
      </c>
      <c r="BT245" s="80" t="inlineStr">
        <is>
          <t/>
        </is>
      </c>
      <c r="BU245" s="81" t="inlineStr">
        <is>
          <t/>
        </is>
      </c>
      <c r="BV245" s="82" t="inlineStr">
        <is>
          <t/>
        </is>
      </c>
      <c r="BW245" s="83" t="inlineStr">
        <is>
          <t/>
        </is>
      </c>
      <c r="BX245" s="84" t="inlineStr">
        <is>
          <t/>
        </is>
      </c>
      <c r="BY245" s="85" t="inlineStr">
        <is>
          <t>Accelerator/Incubator</t>
        </is>
      </c>
      <c r="BZ245" s="86" t="inlineStr">
        <is>
          <t/>
        </is>
      </c>
      <c r="CA245" s="87" t="inlineStr">
        <is>
          <t/>
        </is>
      </c>
      <c r="CB245" s="88" t="inlineStr">
        <is>
          <t>Other</t>
        </is>
      </c>
      <c r="CC245" s="89" t="inlineStr">
        <is>
          <t/>
        </is>
      </c>
      <c r="CD245" s="90" t="inlineStr">
        <is>
          <t/>
        </is>
      </c>
      <c r="CE245" s="91" t="inlineStr">
        <is>
          <t/>
        </is>
      </c>
      <c r="CF245" s="92" t="inlineStr">
        <is>
          <t>Completed</t>
        </is>
      </c>
      <c r="CG245" s="93" t="inlineStr">
        <is>
          <t>-0,61%</t>
        </is>
      </c>
      <c r="CH245" s="94" t="inlineStr">
        <is>
          <t>17</t>
        </is>
      </c>
      <c r="CI245" s="95" t="inlineStr">
        <is>
          <t>0,13%</t>
        </is>
      </c>
      <c r="CJ245" s="96" t="inlineStr">
        <is>
          <t>17,16%</t>
        </is>
      </c>
      <c r="CK245" s="97" t="inlineStr">
        <is>
          <t>-6,23%</t>
        </is>
      </c>
      <c r="CL245" s="98" t="inlineStr">
        <is>
          <t>6</t>
        </is>
      </c>
      <c r="CM245" s="99" t="inlineStr">
        <is>
          <t>2,54%</t>
        </is>
      </c>
      <c r="CN245" s="100" t="inlineStr">
        <is>
          <t>99</t>
        </is>
      </c>
      <c r="CO245" s="101" t="inlineStr">
        <is>
          <t>-12,55%</t>
        </is>
      </c>
      <c r="CP245" s="102" t="inlineStr">
        <is>
          <t>10</t>
        </is>
      </c>
      <c r="CQ245" s="103" t="inlineStr">
        <is>
          <t>0,09%</t>
        </is>
      </c>
      <c r="CR245" s="104" t="inlineStr">
        <is>
          <t>90</t>
        </is>
      </c>
      <c r="CS245" s="105" t="inlineStr">
        <is>
          <t>1,71%</t>
        </is>
      </c>
      <c r="CT245" s="106" t="inlineStr">
        <is>
          <t>97</t>
        </is>
      </c>
      <c r="CU245" s="107" t="inlineStr">
        <is>
          <t>3,37%</t>
        </is>
      </c>
      <c r="CV245" s="108" t="inlineStr">
        <is>
          <t>100</t>
        </is>
      </c>
      <c r="CW245" s="109" t="inlineStr">
        <is>
          <t>53,87x</t>
        </is>
      </c>
      <c r="CX245" s="110" t="inlineStr">
        <is>
          <t>97</t>
        </is>
      </c>
      <c r="CY245" s="111" t="inlineStr">
        <is>
          <t>1,63x</t>
        </is>
      </c>
      <c r="CZ245" s="112" t="inlineStr">
        <is>
          <t>3,12%</t>
        </is>
      </c>
      <c r="DA245" s="113" t="inlineStr">
        <is>
          <t>4,72x</t>
        </is>
      </c>
      <c r="DB245" s="114" t="inlineStr">
        <is>
          <t>80</t>
        </is>
      </c>
      <c r="DC245" s="115" t="inlineStr">
        <is>
          <t>139,30x</t>
        </is>
      </c>
      <c r="DD245" s="116" t="inlineStr">
        <is>
          <t>97</t>
        </is>
      </c>
      <c r="DE245" s="117" t="inlineStr">
        <is>
          <t>5,28x</t>
        </is>
      </c>
      <c r="DF245" s="118" t="inlineStr">
        <is>
          <t>81</t>
        </is>
      </c>
      <c r="DG245" s="119" t="inlineStr">
        <is>
          <t>4,17x</t>
        </is>
      </c>
      <c r="DH245" s="120" t="inlineStr">
        <is>
          <t>77</t>
        </is>
      </c>
      <c r="DI245" s="121" t="inlineStr">
        <is>
          <t>276,35x</t>
        </is>
      </c>
      <c r="DJ245" s="122" t="inlineStr">
        <is>
          <t>98</t>
        </is>
      </c>
      <c r="DK245" s="123" t="inlineStr">
        <is>
          <t>2,25x</t>
        </is>
      </c>
      <c r="DL245" s="124" t="inlineStr">
        <is>
          <t>66</t>
        </is>
      </c>
      <c r="DM245" s="125" t="inlineStr">
        <is>
          <t>1.949</t>
        </is>
      </c>
      <c r="DN245" s="126" t="inlineStr">
        <is>
          <t>51</t>
        </is>
      </c>
      <c r="DO245" s="127" t="inlineStr">
        <is>
          <t>2,69%</t>
        </is>
      </c>
      <c r="DP245" s="128" t="inlineStr">
        <is>
          <t>216.601</t>
        </is>
      </c>
      <c r="DQ245" s="129" t="inlineStr">
        <is>
          <t>13.358</t>
        </is>
      </c>
      <c r="DR245" s="130" t="inlineStr">
        <is>
          <t>6,57%</t>
        </is>
      </c>
      <c r="DS245" s="131" t="inlineStr">
        <is>
          <t>150</t>
        </is>
      </c>
      <c r="DT245" s="132" t="inlineStr">
        <is>
          <t>-1</t>
        </is>
      </c>
      <c r="DU245" s="133" t="inlineStr">
        <is>
          <t>-0,66%</t>
        </is>
      </c>
      <c r="DV245" s="134" t="inlineStr">
        <is>
          <t>834</t>
        </is>
      </c>
      <c r="DW245" s="135" t="inlineStr">
        <is>
          <t>23</t>
        </is>
      </c>
      <c r="DX245" s="136" t="inlineStr">
        <is>
          <t>2,84%</t>
        </is>
      </c>
      <c r="DY245" s="137" t="inlineStr">
        <is>
          <t>PitchBook Research</t>
        </is>
      </c>
      <c r="DZ245" s="785">
        <f>HYPERLINK("https://my.pitchbook.com?c=169924-96", "View company online")</f>
      </c>
    </row>
    <row r="246">
      <c r="A246" s="139" t="inlineStr">
        <is>
          <t>133085-35</t>
        </is>
      </c>
      <c r="B246" s="140" t="inlineStr">
        <is>
          <t>Salary Finance</t>
        </is>
      </c>
      <c r="C246" s="141" t="inlineStr">
        <is>
          <t/>
        </is>
      </c>
      <c r="D246" s="142" t="inlineStr">
        <is>
          <t/>
        </is>
      </c>
      <c r="E246" s="143" t="inlineStr">
        <is>
          <t>133085-35</t>
        </is>
      </c>
      <c r="F246" s="144" t="inlineStr">
        <is>
          <t>Provider of employee benefit services intended to help people become debt-free and save towards their financial goals. The company's benefit services provides employers with a cost- and risk-free employee benefit to enable their staff to pay-off their debt faster, at no expense and help employees understand their money better through financial education, budgeting tools and monitoring credit score, enabling staff to take control of their money and improve their financial health.</t>
        </is>
      </c>
      <c r="G246" s="145" t="inlineStr">
        <is>
          <t>Financial Services</t>
        </is>
      </c>
      <c r="H246" s="146" t="inlineStr">
        <is>
          <t>Other Financial Services</t>
        </is>
      </c>
      <c r="I246" s="147" t="inlineStr">
        <is>
          <t>Other Financial Services</t>
        </is>
      </c>
      <c r="J246" s="148" t="inlineStr">
        <is>
          <t>Other Financial Services*; Financial Software</t>
        </is>
      </c>
      <c r="K246" s="149" t="inlineStr">
        <is>
          <t>FinTech</t>
        </is>
      </c>
      <c r="L246" s="150" t="inlineStr">
        <is>
          <t>Venture Capital-Backed</t>
        </is>
      </c>
      <c r="M246" s="151" t="n">
        <v>50.59</v>
      </c>
      <c r="N246" s="152" t="inlineStr">
        <is>
          <t>Generating Revenue</t>
        </is>
      </c>
      <c r="O246" s="153" t="inlineStr">
        <is>
          <t>Privately Held (backing)</t>
        </is>
      </c>
      <c r="P246" s="154" t="inlineStr">
        <is>
          <t>Venture Capital</t>
        </is>
      </c>
      <c r="Q246" s="155" t="inlineStr">
        <is>
          <t>www.salaryfinance.com</t>
        </is>
      </c>
      <c r="R246" s="156" t="n">
        <v>11.0</v>
      </c>
      <c r="S246" s="157" t="inlineStr">
        <is>
          <t/>
        </is>
      </c>
      <c r="T246" s="158" t="inlineStr">
        <is>
          <t/>
        </is>
      </c>
      <c r="U246" s="159" t="n">
        <v>2015.0</v>
      </c>
      <c r="V246" s="160" t="inlineStr">
        <is>
          <t/>
        </is>
      </c>
      <c r="W246" s="161" t="inlineStr">
        <is>
          <t/>
        </is>
      </c>
      <c r="X246" s="162" t="inlineStr">
        <is>
          <t/>
        </is>
      </c>
      <c r="Y246" s="163" t="inlineStr">
        <is>
          <t/>
        </is>
      </c>
      <c r="Z246" s="164" t="inlineStr">
        <is>
          <t/>
        </is>
      </c>
      <c r="AA246" s="165" t="inlineStr">
        <is>
          <t/>
        </is>
      </c>
      <c r="AB246" s="166" t="inlineStr">
        <is>
          <t/>
        </is>
      </c>
      <c r="AC246" s="167" t="inlineStr">
        <is>
          <t/>
        </is>
      </c>
      <c r="AD246" s="168" t="inlineStr">
        <is>
          <t/>
        </is>
      </c>
      <c r="AE246" s="169" t="inlineStr">
        <is>
          <t>120298-60P</t>
        </is>
      </c>
      <c r="AF246" s="170" t="inlineStr">
        <is>
          <t>Daniel Cobley</t>
        </is>
      </c>
      <c r="AG246" s="171" t="inlineStr">
        <is>
          <t>Co-Founder &amp; Chairman</t>
        </is>
      </c>
      <c r="AH246" s="172" t="inlineStr">
        <is>
          <t>dan.cobley@blenheimchalcot.com</t>
        </is>
      </c>
      <c r="AI246" s="173" t="inlineStr">
        <is>
          <t>+44 (0)20 8080 9513</t>
        </is>
      </c>
      <c r="AJ246" s="174" t="inlineStr">
        <is>
          <t>London, United Kingdom</t>
        </is>
      </c>
      <c r="AK246" s="175" t="inlineStr">
        <is>
          <t>One Hammersmith Broadway</t>
        </is>
      </c>
      <c r="AL246" s="176" t="inlineStr">
        <is>
          <t/>
        </is>
      </c>
      <c r="AM246" s="177" t="inlineStr">
        <is>
          <t>London</t>
        </is>
      </c>
      <c r="AN246" s="178" t="inlineStr">
        <is>
          <t>England</t>
        </is>
      </c>
      <c r="AO246" s="179" t="inlineStr">
        <is>
          <t>W6 9DL</t>
        </is>
      </c>
      <c r="AP246" s="180" t="inlineStr">
        <is>
          <t>United Kingdom</t>
        </is>
      </c>
      <c r="AQ246" s="181" t="inlineStr">
        <is>
          <t/>
        </is>
      </c>
      <c r="AR246" s="182" t="inlineStr">
        <is>
          <t/>
        </is>
      </c>
      <c r="AS246" s="183" t="inlineStr">
        <is>
          <t>info@salaryfinance.com</t>
        </is>
      </c>
      <c r="AT246" s="184" t="inlineStr">
        <is>
          <t>Europe</t>
        </is>
      </c>
      <c r="AU246" s="185" t="inlineStr">
        <is>
          <t>Western Europe</t>
        </is>
      </c>
      <c r="AV246" s="186" t="inlineStr">
        <is>
          <t>The company raised GBP 40 million of venture funding in a deal led by Legal &amp; General Group on October 4, 2017. Blenheim Chalcot also participated. The funds will be used to launch a Financial Wellbeing Hub, a suite of financial education, products and services and to expand internationally.</t>
        </is>
      </c>
      <c r="AW246" s="187" t="inlineStr">
        <is>
          <t>Blenheim Chalcot, Brightbridge Ventures, Legal &amp; General Group</t>
        </is>
      </c>
      <c r="AX246" s="188" t="n">
        <v>3.0</v>
      </c>
      <c r="AY246" s="189" t="inlineStr">
        <is>
          <t/>
        </is>
      </c>
      <c r="AZ246" s="190" t="inlineStr">
        <is>
          <t/>
        </is>
      </c>
      <c r="BA246" s="191" t="inlineStr">
        <is>
          <t/>
        </is>
      </c>
      <c r="BB246" s="192" t="inlineStr">
        <is>
          <t>Blenheim Chalcot (www.blenheimchalcot.com), Brightbridge Ventures (www.brightbridgeventures.com), Legal &amp; General Group (www.legalandgeneralgroup.com)</t>
        </is>
      </c>
      <c r="BC246" s="193" t="inlineStr">
        <is>
          <t/>
        </is>
      </c>
      <c r="BD246" s="194" t="inlineStr">
        <is>
          <t/>
        </is>
      </c>
      <c r="BE246" s="195" t="inlineStr">
        <is>
          <t/>
        </is>
      </c>
      <c r="BF246" s="196" t="inlineStr">
        <is>
          <t/>
        </is>
      </c>
      <c r="BG246" s="197" t="n">
        <v>42327.0</v>
      </c>
      <c r="BH246" s="198" t="n">
        <v>5.68</v>
      </c>
      <c r="BI246" s="199" t="inlineStr">
        <is>
          <t>Actual</t>
        </is>
      </c>
      <c r="BJ246" s="200" t="inlineStr">
        <is>
          <t/>
        </is>
      </c>
      <c r="BK246" s="201" t="inlineStr">
        <is>
          <t/>
        </is>
      </c>
      <c r="BL246" s="202" t="inlineStr">
        <is>
          <t>Early Stage VC</t>
        </is>
      </c>
      <c r="BM246" s="203" t="inlineStr">
        <is>
          <t/>
        </is>
      </c>
      <c r="BN246" s="204" t="inlineStr">
        <is>
          <t/>
        </is>
      </c>
      <c r="BO246" s="205" t="inlineStr">
        <is>
          <t>Venture Capital</t>
        </is>
      </c>
      <c r="BP246" s="206" t="inlineStr">
        <is>
          <t/>
        </is>
      </c>
      <c r="BQ246" s="207" t="inlineStr">
        <is>
          <t/>
        </is>
      </c>
      <c r="BR246" s="208" t="inlineStr">
        <is>
          <t/>
        </is>
      </c>
      <c r="BS246" s="209" t="inlineStr">
        <is>
          <t>Completed</t>
        </is>
      </c>
      <c r="BT246" s="210" t="n">
        <v>43012.0</v>
      </c>
      <c r="BU246" s="211" t="n">
        <v>44.92</v>
      </c>
      <c r="BV246" s="212" t="inlineStr">
        <is>
          <t>Actual</t>
        </is>
      </c>
      <c r="BW246" s="213" t="inlineStr">
        <is>
          <t/>
        </is>
      </c>
      <c r="BX246" s="214" t="inlineStr">
        <is>
          <t/>
        </is>
      </c>
      <c r="BY246" s="215" t="inlineStr">
        <is>
          <t>Early Stage VC</t>
        </is>
      </c>
      <c r="BZ246" s="216" t="inlineStr">
        <is>
          <t/>
        </is>
      </c>
      <c r="CA246" s="217" t="inlineStr">
        <is>
          <t/>
        </is>
      </c>
      <c r="CB246" s="218" t="inlineStr">
        <is>
          <t>Venture Capital</t>
        </is>
      </c>
      <c r="CC246" s="219" t="inlineStr">
        <is>
          <t/>
        </is>
      </c>
      <c r="CD246" s="220" t="inlineStr">
        <is>
          <t/>
        </is>
      </c>
      <c r="CE246" s="221" t="inlineStr">
        <is>
          <t/>
        </is>
      </c>
      <c r="CF246" s="222" t="inlineStr">
        <is>
          <t>Completed</t>
        </is>
      </c>
      <c r="CG246" s="223" t="inlineStr">
        <is>
          <t>0,62%</t>
        </is>
      </c>
      <c r="CH246" s="224" t="inlineStr">
        <is>
          <t>93</t>
        </is>
      </c>
      <c r="CI246" s="225" t="inlineStr">
        <is>
          <t>0,05%</t>
        </is>
      </c>
      <c r="CJ246" s="226" t="inlineStr">
        <is>
          <t>9,53%</t>
        </is>
      </c>
      <c r="CK246" s="227" t="inlineStr">
        <is>
          <t>-0,43%</t>
        </is>
      </c>
      <c r="CL246" s="228" t="inlineStr">
        <is>
          <t>24</t>
        </is>
      </c>
      <c r="CM246" s="229" t="inlineStr">
        <is>
          <t>1,66%</t>
        </is>
      </c>
      <c r="CN246" s="230" t="inlineStr">
        <is>
          <t>98</t>
        </is>
      </c>
      <c r="CO246" s="231" t="inlineStr">
        <is>
          <t>-0,85%</t>
        </is>
      </c>
      <c r="CP246" s="232" t="inlineStr">
        <is>
          <t>34</t>
        </is>
      </c>
      <c r="CQ246" s="233" t="inlineStr">
        <is>
          <t>0,00%</t>
        </is>
      </c>
      <c r="CR246" s="234" t="inlineStr">
        <is>
          <t>20</t>
        </is>
      </c>
      <c r="CS246" s="235" t="inlineStr">
        <is>
          <t/>
        </is>
      </c>
      <c r="CT246" s="236" t="inlineStr">
        <is>
          <t/>
        </is>
      </c>
      <c r="CU246" s="237" t="inlineStr">
        <is>
          <t>1,66%</t>
        </is>
      </c>
      <c r="CV246" s="238" t="inlineStr">
        <is>
          <t>99</t>
        </is>
      </c>
      <c r="CW246" s="239" t="inlineStr">
        <is>
          <t>1,50x</t>
        </is>
      </c>
      <c r="CX246" s="240" t="inlineStr">
        <is>
          <t>58</t>
        </is>
      </c>
      <c r="CY246" s="241" t="inlineStr">
        <is>
          <t>0,00x</t>
        </is>
      </c>
      <c r="CZ246" s="242" t="inlineStr">
        <is>
          <t>0,20%</t>
        </is>
      </c>
      <c r="DA246" s="243" t="inlineStr">
        <is>
          <t>1,82x</t>
        </is>
      </c>
      <c r="DB246" s="244" t="inlineStr">
        <is>
          <t>65</t>
        </is>
      </c>
      <c r="DC246" s="245" t="inlineStr">
        <is>
          <t>1,19x</t>
        </is>
      </c>
      <c r="DD246" s="246" t="inlineStr">
        <is>
          <t>52</t>
        </is>
      </c>
      <c r="DE246" s="247" t="inlineStr">
        <is>
          <t>1,33x</t>
        </is>
      </c>
      <c r="DF246" s="248" t="inlineStr">
        <is>
          <t>57</t>
        </is>
      </c>
      <c r="DG246" s="249" t="inlineStr">
        <is>
          <t>2,31x</t>
        </is>
      </c>
      <c r="DH246" s="250" t="inlineStr">
        <is>
          <t>67</t>
        </is>
      </c>
      <c r="DI246" s="251" t="inlineStr">
        <is>
          <t/>
        </is>
      </c>
      <c r="DJ246" s="252" t="inlineStr">
        <is>
          <t/>
        </is>
      </c>
      <c r="DK246" s="253" t="inlineStr">
        <is>
          <t>1,19x</t>
        </is>
      </c>
      <c r="DL246" s="254" t="inlineStr">
        <is>
          <t>54</t>
        </is>
      </c>
      <c r="DM246" s="255" t="inlineStr">
        <is>
          <t>472</t>
        </is>
      </c>
      <c r="DN246" s="256" t="inlineStr">
        <is>
          <t>57</t>
        </is>
      </c>
      <c r="DO246" s="257" t="inlineStr">
        <is>
          <t>13,73%</t>
        </is>
      </c>
      <c r="DP246" s="258" t="inlineStr">
        <is>
          <t/>
        </is>
      </c>
      <c r="DQ246" s="259" t="inlineStr">
        <is>
          <t/>
        </is>
      </c>
      <c r="DR246" s="260" t="inlineStr">
        <is>
          <t/>
        </is>
      </c>
      <c r="DS246" s="261" t="inlineStr">
        <is>
          <t>83</t>
        </is>
      </c>
      <c r="DT246" s="262" t="inlineStr">
        <is>
          <t>0</t>
        </is>
      </c>
      <c r="DU246" s="263" t="inlineStr">
        <is>
          <t>0,00%</t>
        </is>
      </c>
      <c r="DV246" s="264" t="inlineStr">
        <is>
          <t>440</t>
        </is>
      </c>
      <c r="DW246" s="265" t="inlineStr">
        <is>
          <t>6</t>
        </is>
      </c>
      <c r="DX246" s="266" t="inlineStr">
        <is>
          <t>1,38%</t>
        </is>
      </c>
      <c r="DY246" s="267" t="inlineStr">
        <is>
          <t>PitchBook Research</t>
        </is>
      </c>
      <c r="DZ246" s="786">
        <f>HYPERLINK("https://my.pitchbook.com?c=133085-35", "View company online")</f>
      </c>
    </row>
    <row r="247">
      <c r="A247" s="9" t="inlineStr">
        <is>
          <t>107480-98</t>
        </is>
      </c>
      <c r="B247" s="10" t="inlineStr">
        <is>
          <t>Lilium</t>
        </is>
      </c>
      <c r="C247" s="11" t="inlineStr">
        <is>
          <t/>
        </is>
      </c>
      <c r="D247" s="12" t="inlineStr">
        <is>
          <t/>
        </is>
      </c>
      <c r="E247" s="13" t="inlineStr">
        <is>
          <t>107480-98</t>
        </is>
      </c>
      <c r="F247" s="14" t="inlineStr">
        <is>
          <t>Provider of on-demand air transportation services designed to help people fly anywhere and anytime. The company's on-demand air transportation services include convenient daily flight for underdeveloped regions with poor road infrastructure as well as the developed world with traffic congestion and sprawl, providing users with efficient and environmentally friendly means of transportation.</t>
        </is>
      </c>
      <c r="G247" s="15" t="inlineStr">
        <is>
          <t>Consumer Products and Services (B2C)</t>
        </is>
      </c>
      <c r="H247" s="16" t="inlineStr">
        <is>
          <t>Transportation</t>
        </is>
      </c>
      <c r="I247" s="17" t="inlineStr">
        <is>
          <t>Air</t>
        </is>
      </c>
      <c r="J247" s="18" t="inlineStr">
        <is>
          <t>Air*; Air</t>
        </is>
      </c>
      <c r="K247" s="19" t="inlineStr">
        <is>
          <t>Manufacturing</t>
        </is>
      </c>
      <c r="L247" s="20" t="inlineStr">
        <is>
          <t>Venture Capital-Backed</t>
        </is>
      </c>
      <c r="M247" s="21" t="n">
        <v>86.32</v>
      </c>
      <c r="N247" s="22" t="inlineStr">
        <is>
          <t>Startup</t>
        </is>
      </c>
      <c r="O247" s="23" t="inlineStr">
        <is>
          <t>Privately Held (backing)</t>
        </is>
      </c>
      <c r="P247" s="24" t="inlineStr">
        <is>
          <t>Venture Capital</t>
        </is>
      </c>
      <c r="Q247" s="25" t="inlineStr">
        <is>
          <t>www.lilium.com</t>
        </is>
      </c>
      <c r="R247" s="26" t="n">
        <v>70.0</v>
      </c>
      <c r="S247" s="27" t="inlineStr">
        <is>
          <t/>
        </is>
      </c>
      <c r="T247" s="28" t="inlineStr">
        <is>
          <t/>
        </is>
      </c>
      <c r="U247" s="29" t="n">
        <v>2014.0</v>
      </c>
      <c r="V247" s="30" t="inlineStr">
        <is>
          <t/>
        </is>
      </c>
      <c r="W247" s="31" t="inlineStr">
        <is>
          <t/>
        </is>
      </c>
      <c r="X247" s="32" t="inlineStr">
        <is>
          <t/>
        </is>
      </c>
      <c r="Y247" s="33" t="inlineStr">
        <is>
          <t/>
        </is>
      </c>
      <c r="Z247" s="34" t="inlineStr">
        <is>
          <t/>
        </is>
      </c>
      <c r="AA247" s="35" t="inlineStr">
        <is>
          <t/>
        </is>
      </c>
      <c r="AB247" s="36" t="inlineStr">
        <is>
          <t/>
        </is>
      </c>
      <c r="AC247" s="37" t="inlineStr">
        <is>
          <t/>
        </is>
      </c>
      <c r="AD247" s="38" t="inlineStr">
        <is>
          <t/>
        </is>
      </c>
      <c r="AE247" s="39" t="inlineStr">
        <is>
          <t>91608-40P</t>
        </is>
      </c>
      <c r="AF247" s="40" t="inlineStr">
        <is>
          <t>Matthias Meiner</t>
        </is>
      </c>
      <c r="AG247" s="41" t="inlineStr">
        <is>
          <t>Co-Founder &amp; Head of Flight Control</t>
        </is>
      </c>
      <c r="AH247" s="42" t="inlineStr">
        <is>
          <t>meiner@lilium-aviation.com</t>
        </is>
      </c>
      <c r="AI247" s="43" t="inlineStr">
        <is>
          <t>+49 (0)15 1253 8867 6</t>
        </is>
      </c>
      <c r="AJ247" s="44" t="inlineStr">
        <is>
          <t>Gilching, Germany</t>
        </is>
      </c>
      <c r="AK247" s="45" t="inlineStr">
        <is>
          <t>Friedrichshafener Straße 1</t>
        </is>
      </c>
      <c r="AL247" s="46" t="inlineStr">
        <is>
          <t/>
        </is>
      </c>
      <c r="AM247" s="47" t="inlineStr">
        <is>
          <t>Gilching</t>
        </is>
      </c>
      <c r="AN247" s="48" t="inlineStr">
        <is>
          <t/>
        </is>
      </c>
      <c r="AO247" s="49" t="inlineStr">
        <is>
          <t>82205</t>
        </is>
      </c>
      <c r="AP247" s="50" t="inlineStr">
        <is>
          <t>Germany</t>
        </is>
      </c>
      <c r="AQ247" s="51" t="inlineStr">
        <is>
          <t>+49 (0)15 1253 8867 6</t>
        </is>
      </c>
      <c r="AR247" s="52" t="inlineStr">
        <is>
          <t/>
        </is>
      </c>
      <c r="AS247" s="53" t="inlineStr">
        <is>
          <t>info@lilium-aviation.com</t>
        </is>
      </c>
      <c r="AT247" s="54" t="inlineStr">
        <is>
          <t>Europe</t>
        </is>
      </c>
      <c r="AU247" s="55" t="inlineStr">
        <is>
          <t>Western Europe</t>
        </is>
      </c>
      <c r="AV247" s="56" t="inlineStr">
        <is>
          <t>The company raised $90 million of Series B venture funding from lead investor Tencent on September 5, 2017. Atomico, Obvious Ventures and LGT Group also participated in this round. The investment will be used for the development of the five-seat Lilium Jet that will fly commercially, as well as to grow the company's current team of more than 70. Previously, the company raised $11.4 million of Series A venture funding in a deal led by Atomico on December 5, 2016.</t>
        </is>
      </c>
      <c r="AW247" s="57" t="inlineStr">
        <is>
          <t>Atomico, Climate-KIC, e24, ESA Business Incubation Centre Bavaria, European Space Agency, Freigeist, Hello Tomorrow, LGT Group, Obvious Ventures, Tencent, UnternehmerTUM</t>
        </is>
      </c>
      <c r="AX247" s="58" t="n">
        <v>11.0</v>
      </c>
      <c r="AY247" s="59" t="inlineStr">
        <is>
          <t/>
        </is>
      </c>
      <c r="AZ247" s="60" t="inlineStr">
        <is>
          <t/>
        </is>
      </c>
      <c r="BA247" s="61" t="inlineStr">
        <is>
          <t/>
        </is>
      </c>
      <c r="BB247" s="62" t="inlineStr">
        <is>
          <t>Atomico (www.atomico.com), Climate-KIC (www.climate-kic.org), e24 (www.e-24.ch), ESA Business Incubation Centre Bavaria (www.esa-bic.de), European Space Agency (www.esa.int), Freigeist (www.freigeist.com), Hello Tomorrow (www.challenge.hello-tomorrow.org), LGT Group (www.lgt.com), Obvious Ventures (www.obvious.com), Tencent (www.tencent.com), UnternehmerTUM (www.unternehmertum.de)</t>
        </is>
      </c>
      <c r="BC247" s="63" t="inlineStr">
        <is>
          <t/>
        </is>
      </c>
      <c r="BD247" s="64" t="inlineStr">
        <is>
          <t/>
        </is>
      </c>
      <c r="BE247" s="65" t="inlineStr">
        <is>
          <t/>
        </is>
      </c>
      <c r="BF247" s="66" t="inlineStr">
        <is>
          <t/>
        </is>
      </c>
      <c r="BG247" s="67" t="n">
        <v>42036.0</v>
      </c>
      <c r="BH247" s="68" t="inlineStr">
        <is>
          <t/>
        </is>
      </c>
      <c r="BI247" s="69" t="inlineStr">
        <is>
          <t/>
        </is>
      </c>
      <c r="BJ247" s="70" t="inlineStr">
        <is>
          <t/>
        </is>
      </c>
      <c r="BK247" s="71" t="inlineStr">
        <is>
          <t/>
        </is>
      </c>
      <c r="BL247" s="72" t="inlineStr">
        <is>
          <t>Accelerator/Incubator</t>
        </is>
      </c>
      <c r="BM247" s="73" t="inlineStr">
        <is>
          <t/>
        </is>
      </c>
      <c r="BN247" s="74" t="inlineStr">
        <is>
          <t/>
        </is>
      </c>
      <c r="BO247" s="75" t="inlineStr">
        <is>
          <t>Other</t>
        </is>
      </c>
      <c r="BP247" s="76" t="inlineStr">
        <is>
          <t/>
        </is>
      </c>
      <c r="BQ247" s="77" t="inlineStr">
        <is>
          <t/>
        </is>
      </c>
      <c r="BR247" s="78" t="inlineStr">
        <is>
          <t/>
        </is>
      </c>
      <c r="BS247" s="79" t="inlineStr">
        <is>
          <t>Completed</t>
        </is>
      </c>
      <c r="BT247" s="80" t="n">
        <v>42983.0</v>
      </c>
      <c r="BU247" s="81" t="n">
        <v>75.51</v>
      </c>
      <c r="BV247" s="82" t="inlineStr">
        <is>
          <t>Actual</t>
        </is>
      </c>
      <c r="BW247" s="83" t="inlineStr">
        <is>
          <t/>
        </is>
      </c>
      <c r="BX247" s="84" t="inlineStr">
        <is>
          <t/>
        </is>
      </c>
      <c r="BY247" s="85" t="inlineStr">
        <is>
          <t>Early Stage VC</t>
        </is>
      </c>
      <c r="BZ247" s="86" t="inlineStr">
        <is>
          <t>Series B</t>
        </is>
      </c>
      <c r="CA247" s="87" t="inlineStr">
        <is>
          <t/>
        </is>
      </c>
      <c r="CB247" s="88" t="inlineStr">
        <is>
          <t>Venture Capital</t>
        </is>
      </c>
      <c r="CC247" s="89" t="inlineStr">
        <is>
          <t/>
        </is>
      </c>
      <c r="CD247" s="90" t="inlineStr">
        <is>
          <t/>
        </is>
      </c>
      <c r="CE247" s="91" t="inlineStr">
        <is>
          <t/>
        </is>
      </c>
      <c r="CF247" s="92" t="inlineStr">
        <is>
          <t>Completed</t>
        </is>
      </c>
      <c r="CG247" s="93" t="inlineStr">
        <is>
          <t>-5,15%</t>
        </is>
      </c>
      <c r="CH247" s="94" t="inlineStr">
        <is>
          <t>3</t>
        </is>
      </c>
      <c r="CI247" s="95" t="inlineStr">
        <is>
          <t>-0,04%</t>
        </is>
      </c>
      <c r="CJ247" s="96" t="inlineStr">
        <is>
          <t>-0,77%</t>
        </is>
      </c>
      <c r="CK247" s="97" t="inlineStr">
        <is>
          <t>-17,59%</t>
        </is>
      </c>
      <c r="CL247" s="98" t="inlineStr">
        <is>
          <t>1</t>
        </is>
      </c>
      <c r="CM247" s="99" t="inlineStr">
        <is>
          <t>0,80%</t>
        </is>
      </c>
      <c r="CN247" s="100" t="inlineStr">
        <is>
          <t>94</t>
        </is>
      </c>
      <c r="CO247" s="101" t="inlineStr">
        <is>
          <t>-17,59%</t>
        </is>
      </c>
      <c r="CP247" s="102" t="inlineStr">
        <is>
          <t>7</t>
        </is>
      </c>
      <c r="CQ247" s="103" t="inlineStr">
        <is>
          <t/>
        </is>
      </c>
      <c r="CR247" s="104" t="inlineStr">
        <is>
          <t/>
        </is>
      </c>
      <c r="CS247" s="105" t="inlineStr">
        <is>
          <t>0,80%</t>
        </is>
      </c>
      <c r="CT247" s="106" t="inlineStr">
        <is>
          <t>93</t>
        </is>
      </c>
      <c r="CU247" s="107" t="inlineStr">
        <is>
          <t/>
        </is>
      </c>
      <c r="CV247" s="108" t="inlineStr">
        <is>
          <t/>
        </is>
      </c>
      <c r="CW247" s="109" t="inlineStr">
        <is>
          <t>10,79x</t>
        </is>
      </c>
      <c r="CX247" s="110" t="inlineStr">
        <is>
          <t>88</t>
        </is>
      </c>
      <c r="CY247" s="111" t="inlineStr">
        <is>
          <t>-0,01x</t>
        </is>
      </c>
      <c r="CZ247" s="112" t="inlineStr">
        <is>
          <t>-0,13%</t>
        </is>
      </c>
      <c r="DA247" s="113" t="inlineStr">
        <is>
          <t>13,03x</t>
        </is>
      </c>
      <c r="DB247" s="114" t="inlineStr">
        <is>
          <t>91</t>
        </is>
      </c>
      <c r="DC247" s="115" t="inlineStr">
        <is>
          <t>19,08x</t>
        </is>
      </c>
      <c r="DD247" s="116" t="inlineStr">
        <is>
          <t>89</t>
        </is>
      </c>
      <c r="DE247" s="117" t="inlineStr">
        <is>
          <t>13,03x</t>
        </is>
      </c>
      <c r="DF247" s="118" t="inlineStr">
        <is>
          <t>90</t>
        </is>
      </c>
      <c r="DG247" s="119" t="inlineStr">
        <is>
          <t/>
        </is>
      </c>
      <c r="DH247" s="120" t="inlineStr">
        <is>
          <t/>
        </is>
      </c>
      <c r="DI247" s="121" t="inlineStr">
        <is>
          <t>19,08x</t>
        </is>
      </c>
      <c r="DJ247" s="122" t="inlineStr">
        <is>
          <t>87</t>
        </is>
      </c>
      <c r="DK247" s="123" t="inlineStr">
        <is>
          <t/>
        </is>
      </c>
      <c r="DL247" s="124" t="inlineStr">
        <is>
          <t/>
        </is>
      </c>
      <c r="DM247" s="125" t="inlineStr">
        <is>
          <t>5.402</t>
        </is>
      </c>
      <c r="DN247" s="126" t="inlineStr">
        <is>
          <t>-2.839</t>
        </is>
      </c>
      <c r="DO247" s="127" t="inlineStr">
        <is>
          <t>-34,45%</t>
        </is>
      </c>
      <c r="DP247" s="128" t="inlineStr">
        <is>
          <t>15.081</t>
        </is>
      </c>
      <c r="DQ247" s="129" t="inlineStr">
        <is>
          <t>89</t>
        </is>
      </c>
      <c r="DR247" s="130" t="inlineStr">
        <is>
          <t>0,59%</t>
        </is>
      </c>
      <c r="DS247" s="131" t="inlineStr">
        <is>
          <t/>
        </is>
      </c>
      <c r="DT247" s="132" t="inlineStr">
        <is>
          <t/>
        </is>
      </c>
      <c r="DU247" s="133" t="inlineStr">
        <is>
          <t/>
        </is>
      </c>
      <c r="DV247" s="134" t="inlineStr">
        <is>
          <t>142</t>
        </is>
      </c>
      <c r="DW247" s="135" t="inlineStr">
        <is>
          <t>1</t>
        </is>
      </c>
      <c r="DX247" s="136" t="inlineStr">
        <is>
          <t>0,71%</t>
        </is>
      </c>
      <c r="DY247" s="137" t="inlineStr">
        <is>
          <t>PitchBook Research</t>
        </is>
      </c>
      <c r="DZ247" s="785">
        <f>HYPERLINK("https://my.pitchbook.com?c=107480-98", "View company online")</f>
      </c>
    </row>
    <row r="248">
      <c r="A248" s="139" t="inlineStr">
        <is>
          <t>98884-09</t>
        </is>
      </c>
      <c r="B248" s="140" t="inlineStr">
        <is>
          <t>Spotcap</t>
        </is>
      </c>
      <c r="C248" s="141" t="inlineStr">
        <is>
          <t/>
        </is>
      </c>
      <c r="D248" s="142" t="inlineStr">
        <is>
          <t/>
        </is>
      </c>
      <c r="E248" s="143" t="inlineStr">
        <is>
          <t>98884-09</t>
        </is>
      </c>
      <c r="F248" s="144" t="inlineStr">
        <is>
          <t>Provider of an online lending platform intended to provide flexible and accessible business finance to small and medium-sized businesses. The company's online credit platform uses proprietary credit algorithm which provides deep insight into the financial condition of a business, enabling efficient provision of finance to its customers.</t>
        </is>
      </c>
      <c r="G248" s="145" t="inlineStr">
        <is>
          <t>Information Technology</t>
        </is>
      </c>
      <c r="H248" s="146" t="inlineStr">
        <is>
          <t>Software</t>
        </is>
      </c>
      <c r="I248" s="147" t="inlineStr">
        <is>
          <t>Social/Platform Software</t>
        </is>
      </c>
      <c r="J248" s="148" t="inlineStr">
        <is>
          <t>Social/Platform Software*; Other Financial Services; Financial Software</t>
        </is>
      </c>
      <c r="K248" s="149" t="inlineStr">
        <is>
          <t>FinTech</t>
        </is>
      </c>
      <c r="L248" s="150" t="inlineStr">
        <is>
          <t>Venture Capital-Backed</t>
        </is>
      </c>
      <c r="M248" s="151" t="n">
        <v>99.5</v>
      </c>
      <c r="N248" s="152" t="inlineStr">
        <is>
          <t>Generating Revenue</t>
        </is>
      </c>
      <c r="O248" s="153" t="inlineStr">
        <is>
          <t>Privately Held (backing)</t>
        </is>
      </c>
      <c r="P248" s="154" t="inlineStr">
        <is>
          <t>Venture Capital</t>
        </is>
      </c>
      <c r="Q248" s="155" t="inlineStr">
        <is>
          <t>www.spotcap.com</t>
        </is>
      </c>
      <c r="R248" s="156" t="n">
        <v>120.0</v>
      </c>
      <c r="S248" s="157" t="inlineStr">
        <is>
          <t/>
        </is>
      </c>
      <c r="T248" s="158" t="inlineStr">
        <is>
          <t/>
        </is>
      </c>
      <c r="U248" s="159" t="n">
        <v>2014.0</v>
      </c>
      <c r="V248" s="160" t="inlineStr">
        <is>
          <t/>
        </is>
      </c>
      <c r="W248" s="161" t="inlineStr">
        <is>
          <t/>
        </is>
      </c>
      <c r="X248" s="162" t="inlineStr">
        <is>
          <t/>
        </is>
      </c>
      <c r="Y248" s="163" t="inlineStr">
        <is>
          <t/>
        </is>
      </c>
      <c r="Z248" s="164" t="inlineStr">
        <is>
          <t/>
        </is>
      </c>
      <c r="AA248" s="165" t="inlineStr">
        <is>
          <t/>
        </is>
      </c>
      <c r="AB248" s="166" t="inlineStr">
        <is>
          <t/>
        </is>
      </c>
      <c r="AC248" s="167" t="inlineStr">
        <is>
          <t/>
        </is>
      </c>
      <c r="AD248" s="168" t="inlineStr">
        <is>
          <t/>
        </is>
      </c>
      <c r="AE248" s="169" t="inlineStr">
        <is>
          <t>83068-66P</t>
        </is>
      </c>
      <c r="AF248" s="170" t="inlineStr">
        <is>
          <t>Jens Woloszczak</t>
        </is>
      </c>
      <c r="AG248" s="171" t="inlineStr">
        <is>
          <t>Co-Founder &amp; Chief Executive Officer</t>
        </is>
      </c>
      <c r="AH248" s="172" t="inlineStr">
        <is>
          <t>jens.woloszczak@spotcap.com</t>
        </is>
      </c>
      <c r="AI248" s="173" t="inlineStr">
        <is>
          <t>+34 91 119 6187</t>
        </is>
      </c>
      <c r="AJ248" s="174" t="inlineStr">
        <is>
          <t>Berlin, Germany</t>
        </is>
      </c>
      <c r="AK248" s="175" t="inlineStr">
        <is>
          <t>Stralauer Allee 4</t>
        </is>
      </c>
      <c r="AL248" s="176" t="inlineStr">
        <is>
          <t/>
        </is>
      </c>
      <c r="AM248" s="177" t="inlineStr">
        <is>
          <t>Berlin</t>
        </is>
      </c>
      <c r="AN248" s="178" t="inlineStr">
        <is>
          <t/>
        </is>
      </c>
      <c r="AO248" s="179" t="inlineStr">
        <is>
          <t>10245</t>
        </is>
      </c>
      <c r="AP248" s="180" t="inlineStr">
        <is>
          <t>Germany</t>
        </is>
      </c>
      <c r="AQ248" s="181" t="inlineStr">
        <is>
          <t>+49 (0)30 3642 8694 4</t>
        </is>
      </c>
      <c r="AR248" s="182" t="inlineStr">
        <is>
          <t/>
        </is>
      </c>
      <c r="AS248" s="183" t="inlineStr">
        <is>
          <t>info@spotcap.com</t>
        </is>
      </c>
      <c r="AT248" s="184" t="inlineStr">
        <is>
          <t>Europe</t>
        </is>
      </c>
      <c r="AU248" s="185" t="inlineStr">
        <is>
          <t>Western Europe</t>
        </is>
      </c>
      <c r="AV248" s="186" t="inlineStr">
        <is>
          <t>The company raised EUR 22 million of venture funding from Rocket Internet, Holtzbrinck Ventures and Finstar Financial Group on October 9, 2017. Other undisclosed investors also participated in this round. The company has raised EUR 100 million of investment to date and intends to use the funds to continue to work with its intermediary partner network to increase its global market share. Earlier, the company received AUD 20 million of debt financing from Heartland Bank on January 30, 2017.</t>
        </is>
      </c>
      <c r="AW248" s="187" t="inlineStr">
        <is>
          <t>Access Industries, Finstar Financial Group, Holtzbrinck Ventures, Kreos Capital, Rocket Internet</t>
        </is>
      </c>
      <c r="AX248" s="188" t="n">
        <v>5.0</v>
      </c>
      <c r="AY248" s="189" t="inlineStr">
        <is>
          <t/>
        </is>
      </c>
      <c r="AZ248" s="190" t="inlineStr">
        <is>
          <t/>
        </is>
      </c>
      <c r="BA248" s="191" t="inlineStr">
        <is>
          <t/>
        </is>
      </c>
      <c r="BB248" s="192" t="inlineStr">
        <is>
          <t>Access Industries (www.accessindustries.com), Finstar Financial Group (www.finstar.com), Holtzbrinck Ventures (www.holtzbrinck-ventures.com), Kreos Capital (www.kreoscapital.com), Rocket Internet (www.rocket-internet.com)</t>
        </is>
      </c>
      <c r="BC248" s="193" t="inlineStr">
        <is>
          <t/>
        </is>
      </c>
      <c r="BD248" s="194" t="inlineStr">
        <is>
          <t/>
        </is>
      </c>
      <c r="BE248" s="195" t="inlineStr">
        <is>
          <t/>
        </is>
      </c>
      <c r="BF248" s="196" t="inlineStr">
        <is>
          <t>Kreos Capital (Debt Financing), Heartland Bank (New Zealand) (Debt Financing), Borse Venture Network (Lead Manager or Arranger), Marlin &amp; Associates (Advisor: General)</t>
        </is>
      </c>
      <c r="BG248" s="197" t="n">
        <v>41886.0</v>
      </c>
      <c r="BH248" s="198" t="inlineStr">
        <is>
          <t/>
        </is>
      </c>
      <c r="BI248" s="199" t="inlineStr">
        <is>
          <t/>
        </is>
      </c>
      <c r="BJ248" s="200" t="inlineStr">
        <is>
          <t/>
        </is>
      </c>
      <c r="BK248" s="201" t="inlineStr">
        <is>
          <t/>
        </is>
      </c>
      <c r="BL248" s="202" t="inlineStr">
        <is>
          <t>Accelerator/Incubator</t>
        </is>
      </c>
      <c r="BM248" s="203" t="inlineStr">
        <is>
          <t/>
        </is>
      </c>
      <c r="BN248" s="204" t="inlineStr">
        <is>
          <t/>
        </is>
      </c>
      <c r="BO248" s="205" t="inlineStr">
        <is>
          <t>Venture Capital</t>
        </is>
      </c>
      <c r="BP248" s="206" t="inlineStr">
        <is>
          <t/>
        </is>
      </c>
      <c r="BQ248" s="207" t="inlineStr">
        <is>
          <t/>
        </is>
      </c>
      <c r="BR248" s="208" t="inlineStr">
        <is>
          <t/>
        </is>
      </c>
      <c r="BS248" s="209" t="inlineStr">
        <is>
          <t>Completed</t>
        </is>
      </c>
      <c r="BT248" s="210" t="n">
        <v>43017.0</v>
      </c>
      <c r="BU248" s="211" t="n">
        <v>22.0</v>
      </c>
      <c r="BV248" s="212" t="inlineStr">
        <is>
          <t>Actual</t>
        </is>
      </c>
      <c r="BW248" s="213" t="inlineStr">
        <is>
          <t/>
        </is>
      </c>
      <c r="BX248" s="214" t="inlineStr">
        <is>
          <t/>
        </is>
      </c>
      <c r="BY248" s="215" t="inlineStr">
        <is>
          <t>Early Stage VC</t>
        </is>
      </c>
      <c r="BZ248" s="216" t="inlineStr">
        <is>
          <t/>
        </is>
      </c>
      <c r="CA248" s="217" t="inlineStr">
        <is>
          <t/>
        </is>
      </c>
      <c r="CB248" s="218" t="inlineStr">
        <is>
          <t>Venture Capital</t>
        </is>
      </c>
      <c r="CC248" s="219" t="inlineStr">
        <is>
          <t/>
        </is>
      </c>
      <c r="CD248" s="220" t="inlineStr">
        <is>
          <t/>
        </is>
      </c>
      <c r="CE248" s="221" t="inlineStr">
        <is>
          <t/>
        </is>
      </c>
      <c r="CF248" s="222" t="inlineStr">
        <is>
          <t>Completed</t>
        </is>
      </c>
      <c r="CG248" s="223" t="inlineStr">
        <is>
          <t>0,15%</t>
        </is>
      </c>
      <c r="CH248" s="224" t="inlineStr">
        <is>
          <t>85</t>
        </is>
      </c>
      <c r="CI248" s="225" t="inlineStr">
        <is>
          <t>0,02%</t>
        </is>
      </c>
      <c r="CJ248" s="226" t="inlineStr">
        <is>
          <t>11,98%</t>
        </is>
      </c>
      <c r="CK248" s="227" t="inlineStr">
        <is>
          <t>-0,83%</t>
        </is>
      </c>
      <c r="CL248" s="228" t="inlineStr">
        <is>
          <t>21</t>
        </is>
      </c>
      <c r="CM248" s="229" t="inlineStr">
        <is>
          <t>0,51%</t>
        </is>
      </c>
      <c r="CN248" s="230" t="inlineStr">
        <is>
          <t>89</t>
        </is>
      </c>
      <c r="CO248" s="231" t="inlineStr">
        <is>
          <t>0,05%</t>
        </is>
      </c>
      <c r="CP248" s="232" t="inlineStr">
        <is>
          <t>90</t>
        </is>
      </c>
      <c r="CQ248" s="233" t="inlineStr">
        <is>
          <t>-1,71%</t>
        </is>
      </c>
      <c r="CR248" s="234" t="inlineStr">
        <is>
          <t>4</t>
        </is>
      </c>
      <c r="CS248" s="235" t="inlineStr">
        <is>
          <t>0,63%</t>
        </is>
      </c>
      <c r="CT248" s="236" t="inlineStr">
        <is>
          <t>90</t>
        </is>
      </c>
      <c r="CU248" s="237" t="inlineStr">
        <is>
          <t>0,39%</t>
        </is>
      </c>
      <c r="CV248" s="238" t="inlineStr">
        <is>
          <t>87</t>
        </is>
      </c>
      <c r="CW248" s="239" t="inlineStr">
        <is>
          <t>1,97x</t>
        </is>
      </c>
      <c r="CX248" s="240" t="inlineStr">
        <is>
          <t>64</t>
        </is>
      </c>
      <c r="CY248" s="241" t="inlineStr">
        <is>
          <t>-0,02x</t>
        </is>
      </c>
      <c r="CZ248" s="242" t="inlineStr">
        <is>
          <t>-0,87%</t>
        </is>
      </c>
      <c r="DA248" s="243" t="inlineStr">
        <is>
          <t>4,11x</t>
        </is>
      </c>
      <c r="DB248" s="244" t="inlineStr">
        <is>
          <t>78</t>
        </is>
      </c>
      <c r="DC248" s="245" t="inlineStr">
        <is>
          <t>1,39x</t>
        </is>
      </c>
      <c r="DD248" s="246" t="inlineStr">
        <is>
          <t>55</t>
        </is>
      </c>
      <c r="DE248" s="247" t="inlineStr">
        <is>
          <t>3,16x</t>
        </is>
      </c>
      <c r="DF248" s="248" t="inlineStr">
        <is>
          <t>74</t>
        </is>
      </c>
      <c r="DG248" s="249" t="inlineStr">
        <is>
          <t>5,06x</t>
        </is>
      </c>
      <c r="DH248" s="250" t="inlineStr">
        <is>
          <t>79</t>
        </is>
      </c>
      <c r="DI248" s="251" t="inlineStr">
        <is>
          <t>0,44x</t>
        </is>
      </c>
      <c r="DJ248" s="252" t="inlineStr">
        <is>
          <t>36</t>
        </is>
      </c>
      <c r="DK248" s="253" t="inlineStr">
        <is>
          <t>2,34x</t>
        </is>
      </c>
      <c r="DL248" s="254" t="inlineStr">
        <is>
          <t>67</t>
        </is>
      </c>
      <c r="DM248" s="255" t="inlineStr">
        <is>
          <t>1.155</t>
        </is>
      </c>
      <c r="DN248" s="256" t="inlineStr">
        <is>
          <t>51</t>
        </is>
      </c>
      <c r="DO248" s="257" t="inlineStr">
        <is>
          <t>4,62%</t>
        </is>
      </c>
      <c r="DP248" s="258" t="inlineStr">
        <is>
          <t>350</t>
        </is>
      </c>
      <c r="DQ248" s="259" t="inlineStr">
        <is>
          <t>4</t>
        </is>
      </c>
      <c r="DR248" s="260" t="inlineStr">
        <is>
          <t>1,16%</t>
        </is>
      </c>
      <c r="DS248" s="261" t="inlineStr">
        <is>
          <t>183</t>
        </is>
      </c>
      <c r="DT248" s="262" t="inlineStr">
        <is>
          <t>-3</t>
        </is>
      </c>
      <c r="DU248" s="263" t="inlineStr">
        <is>
          <t>-1,61%</t>
        </is>
      </c>
      <c r="DV248" s="264" t="inlineStr">
        <is>
          <t>874</t>
        </is>
      </c>
      <c r="DW248" s="265" t="inlineStr">
        <is>
          <t>6</t>
        </is>
      </c>
      <c r="DX248" s="266" t="inlineStr">
        <is>
          <t>0,69%</t>
        </is>
      </c>
      <c r="DY248" s="267" t="inlineStr">
        <is>
          <t>PitchBook Research</t>
        </is>
      </c>
      <c r="DZ248" s="786">
        <f>HYPERLINK("https://my.pitchbook.com?c=98884-09", "View company online")</f>
      </c>
    </row>
    <row r="249">
      <c r="A249" s="9" t="inlineStr">
        <is>
          <t>118978-21</t>
        </is>
      </c>
      <c r="B249" s="10" t="inlineStr">
        <is>
          <t>Monzo</t>
        </is>
      </c>
      <c r="C249" s="11" t="inlineStr">
        <is>
          <t>Mondo</t>
        </is>
      </c>
      <c r="D249" s="12" t="inlineStr">
        <is>
          <t/>
        </is>
      </c>
      <c r="E249" s="13" t="inlineStr">
        <is>
          <t>118978-21</t>
        </is>
      </c>
      <c r="F249" s="14" t="inlineStr">
        <is>
          <t>Developer of a banking application designed to make a bank as smart as a phone. The company's banking application uses smartphone technology to update balances instantly, give intelligent notifications and track day-to-day financial transactions without any usage fees, enabling consumers to get a graphical timeline of their overall expenditures.</t>
        </is>
      </c>
      <c r="G249" s="15" t="inlineStr">
        <is>
          <t>Information Technology</t>
        </is>
      </c>
      <c r="H249" s="16" t="inlineStr">
        <is>
          <t>Software</t>
        </is>
      </c>
      <c r="I249" s="17" t="inlineStr">
        <is>
          <t>Application Software</t>
        </is>
      </c>
      <c r="J249" s="18" t="inlineStr">
        <is>
          <t>Application Software*; Information Services (B2C)</t>
        </is>
      </c>
      <c r="K249" s="19" t="inlineStr">
        <is>
          <t>FinTech, Mobile</t>
        </is>
      </c>
      <c r="L249" s="20" t="inlineStr">
        <is>
          <t>Venture Capital-Backed</t>
        </is>
      </c>
      <c r="M249" s="21" t="n">
        <v>131.39</v>
      </c>
      <c r="N249" s="22" t="inlineStr">
        <is>
          <t>Generating Revenue</t>
        </is>
      </c>
      <c r="O249" s="23" t="inlineStr">
        <is>
          <t>Privately Held (backing)</t>
        </is>
      </c>
      <c r="P249" s="24" t="inlineStr">
        <is>
          <t>Venture Capital</t>
        </is>
      </c>
      <c r="Q249" s="25" t="inlineStr">
        <is>
          <t>www.monzo.com</t>
        </is>
      </c>
      <c r="R249" s="26" t="n">
        <v>210.0</v>
      </c>
      <c r="S249" s="27" t="inlineStr">
        <is>
          <t/>
        </is>
      </c>
      <c r="T249" s="28" t="inlineStr">
        <is>
          <t/>
        </is>
      </c>
      <c r="U249" s="29" t="n">
        <v>2015.0</v>
      </c>
      <c r="V249" s="30" t="inlineStr">
        <is>
          <t/>
        </is>
      </c>
      <c r="W249" s="31" t="inlineStr">
        <is>
          <t/>
        </is>
      </c>
      <c r="X249" s="32" t="inlineStr">
        <is>
          <t/>
        </is>
      </c>
      <c r="Y249" s="33" t="n">
        <v>0.15022</v>
      </c>
      <c r="Z249" s="34" t="inlineStr">
        <is>
          <t/>
        </is>
      </c>
      <c r="AA249" s="35" t="n">
        <v>-8.31826</v>
      </c>
      <c r="AB249" s="36" t="inlineStr">
        <is>
          <t/>
        </is>
      </c>
      <c r="AC249" s="37" t="n">
        <v>-9.81103</v>
      </c>
      <c r="AD249" s="38" t="inlineStr">
        <is>
          <t>FY 2017</t>
        </is>
      </c>
      <c r="AE249" s="39" t="inlineStr">
        <is>
          <t>104849-11P</t>
        </is>
      </c>
      <c r="AF249" s="40" t="inlineStr">
        <is>
          <t>Gary Dolman</t>
        </is>
      </c>
      <c r="AG249" s="41" t="inlineStr">
        <is>
          <t>Chief Financial Officer &amp; Co-Founder</t>
        </is>
      </c>
      <c r="AH249" s="42" t="inlineStr">
        <is>
          <t>gary@getmondo.co.uk</t>
        </is>
      </c>
      <c r="AI249" s="43" t="inlineStr">
        <is>
          <t/>
        </is>
      </c>
      <c r="AJ249" s="44" t="inlineStr">
        <is>
          <t>London, United Kingdom</t>
        </is>
      </c>
      <c r="AK249" s="45" t="inlineStr">
        <is>
          <t>230 City Road</t>
        </is>
      </c>
      <c r="AL249" s="46" t="inlineStr">
        <is>
          <t/>
        </is>
      </c>
      <c r="AM249" s="47" t="inlineStr">
        <is>
          <t>London</t>
        </is>
      </c>
      <c r="AN249" s="48" t="inlineStr">
        <is>
          <t>England</t>
        </is>
      </c>
      <c r="AO249" s="49" t="inlineStr">
        <is>
          <t>EC1V 2QY</t>
        </is>
      </c>
      <c r="AP249" s="50" t="inlineStr">
        <is>
          <t>United Kingdom</t>
        </is>
      </c>
      <c r="AQ249" s="51" t="inlineStr">
        <is>
          <t/>
        </is>
      </c>
      <c r="AR249" s="52" t="inlineStr">
        <is>
          <t/>
        </is>
      </c>
      <c r="AS249" s="53" t="inlineStr">
        <is>
          <t>help@monzo.com</t>
        </is>
      </c>
      <c r="AT249" s="54" t="inlineStr">
        <is>
          <t>Europe</t>
        </is>
      </c>
      <c r="AU249" s="55" t="inlineStr">
        <is>
          <t>Western Europe</t>
        </is>
      </c>
      <c r="AV249" s="56" t="inlineStr">
        <is>
          <t>The company raised GBP 71 million of venture funding in a deal led by Goodwater Capital on November 7, 2017, valuing the company at GBP 280 million. Kevin Systrom, Stripe, Michael Moritz, Passion Capital, Thrive Capital and Orange Digital Ventures also participated in the round. The company has reserved GBP 1.5 million of this round to allow existing crowdfunding investors to increase their investment. The company will use the funds to continue to grow its customer base in the UK and beyond, to roll out its full current account and continue to launch new features. Previously, the company raised GBP 19.5 million of Series B venture funding in a deal led by Thrive capital via RNIB and Crowdcube February 22, 2017, putting the company's pre money valuation at GBP 58.6 million.</t>
        </is>
      </c>
      <c r="AW249" s="57" t="inlineStr">
        <is>
          <t>Blue Wire Capital, Goodwater Capital, Kevin Systrom, Michael Moritz, Orange Digital Ventures, Passion Capital, Stripe, Thrive Capital</t>
        </is>
      </c>
      <c r="AX249" s="58" t="n">
        <v>8.0</v>
      </c>
      <c r="AY249" s="59" t="inlineStr">
        <is>
          <t/>
        </is>
      </c>
      <c r="AZ249" s="60" t="inlineStr">
        <is>
          <t/>
        </is>
      </c>
      <c r="BA249" s="61" t="inlineStr">
        <is>
          <t/>
        </is>
      </c>
      <c r="BB249" s="62" t="inlineStr">
        <is>
          <t>Blue Wire Capital (bluewirecapital.com), Goodwater Capital (www.goodwatercap.com), Orange Digital Ventures (www.digitalventures.orange.com), Passion Capital (www.passioncapital.com), Stripe (www.stripe.com), Thrive Capital (www.thrivecap.com)</t>
        </is>
      </c>
      <c r="BC249" s="63" t="inlineStr">
        <is>
          <t/>
        </is>
      </c>
      <c r="BD249" s="64" t="inlineStr">
        <is>
          <t/>
        </is>
      </c>
      <c r="BE249" s="65" t="inlineStr">
        <is>
          <t>Taylor Wessing (Legal Advisor), EY (Auditor), Bank of Scotland (General Business Banking), Upscale UK (Consulting)</t>
        </is>
      </c>
      <c r="BF249" s="66" t="inlineStr">
        <is>
          <t>Crowdcube (Lead Manager or Arranger), RNIB (Lead Manager or Arranger)</t>
        </is>
      </c>
      <c r="BG249" s="67" t="n">
        <v>42185.0</v>
      </c>
      <c r="BH249" s="68" t="n">
        <v>2.78</v>
      </c>
      <c r="BI249" s="69" t="inlineStr">
        <is>
          <t>Actual</t>
        </is>
      </c>
      <c r="BJ249" s="70" t="n">
        <v>12.49</v>
      </c>
      <c r="BK249" s="71" t="inlineStr">
        <is>
          <t>Actual</t>
        </is>
      </c>
      <c r="BL249" s="72" t="inlineStr">
        <is>
          <t>Early Stage VC</t>
        </is>
      </c>
      <c r="BM249" s="73" t="inlineStr">
        <is>
          <t/>
        </is>
      </c>
      <c r="BN249" s="74" t="inlineStr">
        <is>
          <t/>
        </is>
      </c>
      <c r="BO249" s="75" t="inlineStr">
        <is>
          <t>Venture Capital</t>
        </is>
      </c>
      <c r="BP249" s="76" t="inlineStr">
        <is>
          <t/>
        </is>
      </c>
      <c r="BQ249" s="77" t="inlineStr">
        <is>
          <t/>
        </is>
      </c>
      <c r="BR249" s="78" t="inlineStr">
        <is>
          <t/>
        </is>
      </c>
      <c r="BS249" s="79" t="inlineStr">
        <is>
          <t>Completed</t>
        </is>
      </c>
      <c r="BT249" s="80" t="n">
        <v>43046.0</v>
      </c>
      <c r="BU249" s="81" t="n">
        <v>79.73</v>
      </c>
      <c r="BV249" s="82" t="inlineStr">
        <is>
          <t>Actual</t>
        </is>
      </c>
      <c r="BW249" s="83" t="n">
        <v>314.42</v>
      </c>
      <c r="BX249" s="84" t="inlineStr">
        <is>
          <t>Actual</t>
        </is>
      </c>
      <c r="BY249" s="85" t="inlineStr">
        <is>
          <t>Early Stage VC</t>
        </is>
      </c>
      <c r="BZ249" s="86" t="inlineStr">
        <is>
          <t/>
        </is>
      </c>
      <c r="CA249" s="87" t="inlineStr">
        <is>
          <t/>
        </is>
      </c>
      <c r="CB249" s="88" t="inlineStr">
        <is>
          <t>Venture Capital</t>
        </is>
      </c>
      <c r="CC249" s="89" t="inlineStr">
        <is>
          <t/>
        </is>
      </c>
      <c r="CD249" s="90" t="inlineStr">
        <is>
          <t/>
        </is>
      </c>
      <c r="CE249" s="91" t="inlineStr">
        <is>
          <t/>
        </is>
      </c>
      <c r="CF249" s="92" t="inlineStr">
        <is>
          <t>Completed</t>
        </is>
      </c>
      <c r="CG249" s="93" t="inlineStr">
        <is>
          <t>-1,95%</t>
        </is>
      </c>
      <c r="CH249" s="94" t="inlineStr">
        <is>
          <t>9</t>
        </is>
      </c>
      <c r="CI249" s="95" t="inlineStr">
        <is>
          <t>0,19%</t>
        </is>
      </c>
      <c r="CJ249" s="96" t="inlineStr">
        <is>
          <t>8,81%</t>
        </is>
      </c>
      <c r="CK249" s="97" t="inlineStr">
        <is>
          <t>-13,85%</t>
        </is>
      </c>
      <c r="CL249" s="98" t="inlineStr">
        <is>
          <t>2</t>
        </is>
      </c>
      <c r="CM249" s="99" t="inlineStr">
        <is>
          <t>1,05%</t>
        </is>
      </c>
      <c r="CN249" s="100" t="inlineStr">
        <is>
          <t>96</t>
        </is>
      </c>
      <c r="CO249" s="101" t="inlineStr">
        <is>
          <t>-27,70%</t>
        </is>
      </c>
      <c r="CP249" s="102" t="inlineStr">
        <is>
          <t>2</t>
        </is>
      </c>
      <c r="CQ249" s="103" t="inlineStr">
        <is>
          <t>0,00%</t>
        </is>
      </c>
      <c r="CR249" s="104" t="inlineStr">
        <is>
          <t>20</t>
        </is>
      </c>
      <c r="CS249" s="105" t="inlineStr">
        <is>
          <t>0,91%</t>
        </is>
      </c>
      <c r="CT249" s="106" t="inlineStr">
        <is>
          <t>94</t>
        </is>
      </c>
      <c r="CU249" s="107" t="inlineStr">
        <is>
          <t>1,18%</t>
        </is>
      </c>
      <c r="CV249" s="108" t="inlineStr">
        <is>
          <t>97</t>
        </is>
      </c>
      <c r="CW249" s="109" t="inlineStr">
        <is>
          <t>20,73x</t>
        </is>
      </c>
      <c r="CX249" s="110" t="inlineStr">
        <is>
          <t>93</t>
        </is>
      </c>
      <c r="CY249" s="111" t="inlineStr">
        <is>
          <t>-0,05x</t>
        </is>
      </c>
      <c r="CZ249" s="112" t="inlineStr">
        <is>
          <t>-0,26%</t>
        </is>
      </c>
      <c r="DA249" s="113" t="inlineStr">
        <is>
          <t>5,82x</t>
        </is>
      </c>
      <c r="DB249" s="114" t="inlineStr">
        <is>
          <t>83</t>
        </is>
      </c>
      <c r="DC249" s="115" t="inlineStr">
        <is>
          <t>76,03x</t>
        </is>
      </c>
      <c r="DD249" s="116" t="inlineStr">
        <is>
          <t>96</t>
        </is>
      </c>
      <c r="DE249" s="117" t="inlineStr">
        <is>
          <t>10,00x</t>
        </is>
      </c>
      <c r="DF249" s="118" t="inlineStr">
        <is>
          <t>88</t>
        </is>
      </c>
      <c r="DG249" s="119" t="inlineStr">
        <is>
          <t>1,64x</t>
        </is>
      </c>
      <c r="DH249" s="120" t="inlineStr">
        <is>
          <t>61</t>
        </is>
      </c>
      <c r="DI249" s="121" t="inlineStr">
        <is>
          <t>25,74x</t>
        </is>
      </c>
      <c r="DJ249" s="122" t="inlineStr">
        <is>
          <t>89</t>
        </is>
      </c>
      <c r="DK249" s="123" t="inlineStr">
        <is>
          <t>126,32x</t>
        </is>
      </c>
      <c r="DL249" s="124" t="inlineStr">
        <is>
          <t>98</t>
        </is>
      </c>
      <c r="DM249" s="125" t="inlineStr">
        <is>
          <t>3.724</t>
        </is>
      </c>
      <c r="DN249" s="126" t="inlineStr">
        <is>
          <t>-65</t>
        </is>
      </c>
      <c r="DO249" s="127" t="inlineStr">
        <is>
          <t>-1,72%</t>
        </is>
      </c>
      <c r="DP249" s="128" t="inlineStr">
        <is>
          <t>20.330</t>
        </is>
      </c>
      <c r="DQ249" s="129" t="inlineStr">
        <is>
          <t>141</t>
        </is>
      </c>
      <c r="DR249" s="130" t="inlineStr">
        <is>
          <t>0,70%</t>
        </is>
      </c>
      <c r="DS249" s="131" t="inlineStr">
        <is>
          <t>59</t>
        </is>
      </c>
      <c r="DT249" s="132" t="inlineStr">
        <is>
          <t>0</t>
        </is>
      </c>
      <c r="DU249" s="133" t="inlineStr">
        <is>
          <t>0,00%</t>
        </is>
      </c>
      <c r="DV249" s="134" t="inlineStr">
        <is>
          <t>47.095</t>
        </is>
      </c>
      <c r="DW249" s="135" t="inlineStr">
        <is>
          <t>401</t>
        </is>
      </c>
      <c r="DX249" s="136" t="inlineStr">
        <is>
          <t>0,86%</t>
        </is>
      </c>
      <c r="DY249" s="137" t="inlineStr">
        <is>
          <t>PitchBook Research</t>
        </is>
      </c>
      <c r="DZ249" s="785">
        <f>HYPERLINK("https://my.pitchbook.com?c=118978-21", "View company online")</f>
      </c>
    </row>
    <row r="250">
      <c r="A250" s="139" t="inlineStr">
        <is>
          <t>58212-10</t>
        </is>
      </c>
      <c r="B250" s="140" t="inlineStr">
        <is>
          <t>BrewDog</t>
        </is>
      </c>
      <c r="C250" s="141" t="inlineStr">
        <is>
          <t/>
        </is>
      </c>
      <c r="D250" s="142" t="inlineStr">
        <is>
          <t/>
        </is>
      </c>
      <c r="E250" s="143" t="inlineStr">
        <is>
          <t>58212-10</t>
        </is>
      </c>
      <c r="F250" s="144" t="inlineStr">
        <is>
          <t>Operator of brewery and chain of pubs. The company produces bottled and canned beers in a variety of styles such as ale, stout, India pale ale (IPA) and lager, some of which are also available in keg containers providing customers with variety of malt beverages such as beer and liquors.</t>
        </is>
      </c>
      <c r="G250" s="145" t="inlineStr">
        <is>
          <t>Consumer Products and Services (B2C)</t>
        </is>
      </c>
      <c r="H250" s="146" t="inlineStr">
        <is>
          <t>Consumer Non-Durables</t>
        </is>
      </c>
      <c r="I250" s="147" t="inlineStr">
        <is>
          <t>Beverages</t>
        </is>
      </c>
      <c r="J250" s="148" t="inlineStr">
        <is>
          <t>Beverages*; Restaurants and Bars</t>
        </is>
      </c>
      <c r="K250" s="149" t="inlineStr">
        <is>
          <t>Manufacturing</t>
        </is>
      </c>
      <c r="L250" s="150" t="inlineStr">
        <is>
          <t>Private Equity-Backed</t>
        </is>
      </c>
      <c r="M250" s="151" t="n">
        <v>420.13</v>
      </c>
      <c r="N250" s="152" t="inlineStr">
        <is>
          <t>Profitable</t>
        </is>
      </c>
      <c r="O250" s="153" t="inlineStr">
        <is>
          <t>Privately Held (backing)</t>
        </is>
      </c>
      <c r="P250" s="154" t="inlineStr">
        <is>
          <t>Venture Capital, Private Equity</t>
        </is>
      </c>
      <c r="Q250" s="155" t="inlineStr">
        <is>
          <t>www.brewdog.com</t>
        </is>
      </c>
      <c r="R250" s="156" t="n">
        <v>800.0</v>
      </c>
      <c r="S250" s="157" t="inlineStr">
        <is>
          <t/>
        </is>
      </c>
      <c r="T250" s="158" t="inlineStr">
        <is>
          <t/>
        </is>
      </c>
      <c r="U250" s="159" t="n">
        <v>2007.0</v>
      </c>
      <c r="V250" s="160" t="inlineStr">
        <is>
          <t/>
        </is>
      </c>
      <c r="W250" s="161" t="inlineStr">
        <is>
          <t/>
        </is>
      </c>
      <c r="X250" s="162" t="inlineStr">
        <is>
          <t/>
        </is>
      </c>
      <c r="Y250" s="163" t="n">
        <v>91.37767</v>
      </c>
      <c r="Z250" s="164" t="inlineStr">
        <is>
          <t/>
        </is>
      </c>
      <c r="AA250" s="165" t="inlineStr">
        <is>
          <t/>
        </is>
      </c>
      <c r="AB250" s="166" t="inlineStr">
        <is>
          <t/>
        </is>
      </c>
      <c r="AC250" s="167" t="inlineStr">
        <is>
          <t/>
        </is>
      </c>
      <c r="AD250" s="168" t="inlineStr">
        <is>
          <t>FY 2016</t>
        </is>
      </c>
      <c r="AE250" s="169" t="inlineStr">
        <is>
          <t>54422-47P</t>
        </is>
      </c>
      <c r="AF250" s="170" t="inlineStr">
        <is>
          <t>James Watt</t>
        </is>
      </c>
      <c r="AG250" s="171" t="inlineStr">
        <is>
          <t>Chief Executive Officer &amp; Co-Founder</t>
        </is>
      </c>
      <c r="AH250" s="172" t="inlineStr">
        <is>
          <t>james@brewdog.com</t>
        </is>
      </c>
      <c r="AI250" s="173" t="inlineStr">
        <is>
          <t>+44 (0) 1358 724 924</t>
        </is>
      </c>
      <c r="AJ250" s="174" t="inlineStr">
        <is>
          <t>Ellon, United Kingdom</t>
        </is>
      </c>
      <c r="AK250" s="175" t="inlineStr">
        <is>
          <t>Balmacassie Industrial Estate</t>
        </is>
      </c>
      <c r="AL250" s="176" t="inlineStr">
        <is>
          <t>Aberdeenshire</t>
        </is>
      </c>
      <c r="AM250" s="177" t="inlineStr">
        <is>
          <t>Ellon</t>
        </is>
      </c>
      <c r="AN250" s="178" t="inlineStr">
        <is>
          <t>Scotland</t>
        </is>
      </c>
      <c r="AO250" s="179" t="inlineStr">
        <is>
          <t>AB41 8BX</t>
        </is>
      </c>
      <c r="AP250" s="180" t="inlineStr">
        <is>
          <t>United Kingdom</t>
        </is>
      </c>
      <c r="AQ250" s="181" t="inlineStr">
        <is>
          <t>+44 (0)13 5872 4924</t>
        </is>
      </c>
      <c r="AR250" s="182" t="inlineStr">
        <is>
          <t/>
        </is>
      </c>
      <c r="AS250" s="183" t="inlineStr">
        <is>
          <t>hello@brewdog.com</t>
        </is>
      </c>
      <c r="AT250" s="184" t="inlineStr">
        <is>
          <t>Europe</t>
        </is>
      </c>
      <c r="AU250" s="185" t="inlineStr">
        <is>
          <t>Western Europe</t>
        </is>
      </c>
      <c r="AV250" s="186" t="inlineStr">
        <is>
          <t>The company raised $50 million of angel funding via crowdfunding platform on October 18, 2017. The company will use the funding to expand in in four continents.</t>
        </is>
      </c>
      <c r="AW250" s="187" t="inlineStr">
        <is>
          <t>Lasse Chor, Scottish Enterprise, The Princes Trust, TSG Consumer</t>
        </is>
      </c>
      <c r="AX250" s="188" t="n">
        <v>4.0</v>
      </c>
      <c r="AY250" s="189" t="inlineStr">
        <is>
          <t/>
        </is>
      </c>
      <c r="AZ250" s="190" t="inlineStr">
        <is>
          <t/>
        </is>
      </c>
      <c r="BA250" s="191" t="inlineStr">
        <is>
          <t/>
        </is>
      </c>
      <c r="BB250" s="192" t="inlineStr">
        <is>
          <t>Scottish Enterprise (www.scottish-enterprise.com), The Princes Trust (www.princes-trust.org.uk), TSG Consumer (www.tsgconsumer.com)</t>
        </is>
      </c>
      <c r="BC250" s="193" t="inlineStr">
        <is>
          <t/>
        </is>
      </c>
      <c r="BD250" s="194" t="inlineStr">
        <is>
          <t/>
        </is>
      </c>
      <c r="BE250" s="195" t="inlineStr">
        <is>
          <t/>
        </is>
      </c>
      <c r="BF250" s="196" t="inlineStr">
        <is>
          <t>HSBC Holdings (Debt Financing), Crowdcube (Lead Manager or Arranger), Crowe Clark Whitehill (Advisor: General), DLA Piper (Legal Advisor), Indiegogo (Lead Manager or Arranger), Equity for Punks (Lead Manager or Arranger)</t>
        </is>
      </c>
      <c r="BG250" s="197" t="n">
        <v>39083.0</v>
      </c>
      <c r="BH250" s="198" t="n">
        <v>0.03</v>
      </c>
      <c r="BI250" s="199" t="inlineStr">
        <is>
          <t>Actual</t>
        </is>
      </c>
      <c r="BJ250" s="200" t="inlineStr">
        <is>
          <t/>
        </is>
      </c>
      <c r="BK250" s="201" t="inlineStr">
        <is>
          <t/>
        </is>
      </c>
      <c r="BL250" s="202" t="inlineStr">
        <is>
          <t>Loan</t>
        </is>
      </c>
      <c r="BM250" s="203" t="inlineStr">
        <is>
          <t/>
        </is>
      </c>
      <c r="BN250" s="204" t="inlineStr">
        <is>
          <t/>
        </is>
      </c>
      <c r="BO250" s="205" t="inlineStr">
        <is>
          <t>Debt</t>
        </is>
      </c>
      <c r="BP250" s="206" t="inlineStr">
        <is>
          <t>Loan</t>
        </is>
      </c>
      <c r="BQ250" s="207" t="inlineStr">
        <is>
          <t/>
        </is>
      </c>
      <c r="BR250" s="208" t="inlineStr">
        <is>
          <t/>
        </is>
      </c>
      <c r="BS250" s="209" t="inlineStr">
        <is>
          <t>Completed</t>
        </is>
      </c>
      <c r="BT250" s="210" t="n">
        <v>43026.0</v>
      </c>
      <c r="BU250" s="211" t="n">
        <v>56.15</v>
      </c>
      <c r="BV250" s="212" t="inlineStr">
        <is>
          <t>Estimated</t>
        </is>
      </c>
      <c r="BW250" s="213" t="inlineStr">
        <is>
          <t/>
        </is>
      </c>
      <c r="BX250" s="214" t="inlineStr">
        <is>
          <t/>
        </is>
      </c>
      <c r="BY250" s="215" t="inlineStr">
        <is>
          <t>Angel (individual)</t>
        </is>
      </c>
      <c r="BZ250" s="216" t="inlineStr">
        <is>
          <t>Angel</t>
        </is>
      </c>
      <c r="CA250" s="217" t="inlineStr">
        <is>
          <t/>
        </is>
      </c>
      <c r="CB250" s="218" t="inlineStr">
        <is>
          <t>Individual</t>
        </is>
      </c>
      <c r="CC250" s="219" t="inlineStr">
        <is>
          <t/>
        </is>
      </c>
      <c r="CD250" s="220" t="inlineStr">
        <is>
          <t/>
        </is>
      </c>
      <c r="CE250" s="221" t="inlineStr">
        <is>
          <t/>
        </is>
      </c>
      <c r="CF250" s="222" t="inlineStr">
        <is>
          <t>Completed</t>
        </is>
      </c>
      <c r="CG250" s="223" t="inlineStr">
        <is>
          <t>-4,59%</t>
        </is>
      </c>
      <c r="CH250" s="224" t="inlineStr">
        <is>
          <t>4</t>
        </is>
      </c>
      <c r="CI250" s="225" t="inlineStr">
        <is>
          <t>0,05%</t>
        </is>
      </c>
      <c r="CJ250" s="226" t="inlineStr">
        <is>
          <t>1,00%</t>
        </is>
      </c>
      <c r="CK250" s="227" t="inlineStr">
        <is>
          <t>-9,45%</t>
        </is>
      </c>
      <c r="CL250" s="228" t="inlineStr">
        <is>
          <t>4</t>
        </is>
      </c>
      <c r="CM250" s="229" t="inlineStr">
        <is>
          <t>0,27%</t>
        </is>
      </c>
      <c r="CN250" s="230" t="inlineStr">
        <is>
          <t>78</t>
        </is>
      </c>
      <c r="CO250" s="231" t="inlineStr">
        <is>
          <t>-19,07%</t>
        </is>
      </c>
      <c r="CP250" s="232" t="inlineStr">
        <is>
          <t>6</t>
        </is>
      </c>
      <c r="CQ250" s="233" t="inlineStr">
        <is>
          <t>0,16%</t>
        </is>
      </c>
      <c r="CR250" s="234" t="inlineStr">
        <is>
          <t>90</t>
        </is>
      </c>
      <c r="CS250" s="235" t="inlineStr">
        <is>
          <t>0,35%</t>
        </is>
      </c>
      <c r="CT250" s="236" t="inlineStr">
        <is>
          <t>81</t>
        </is>
      </c>
      <c r="CU250" s="237" t="inlineStr">
        <is>
          <t>0,19%</t>
        </is>
      </c>
      <c r="CV250" s="238" t="inlineStr">
        <is>
          <t>75</t>
        </is>
      </c>
      <c r="CW250" s="239" t="inlineStr">
        <is>
          <t>222,09x</t>
        </is>
      </c>
      <c r="CX250" s="240" t="inlineStr">
        <is>
          <t>99</t>
        </is>
      </c>
      <c r="CY250" s="241" t="inlineStr">
        <is>
          <t>-0,80x</t>
        </is>
      </c>
      <c r="CZ250" s="242" t="inlineStr">
        <is>
          <t>-0,36%</t>
        </is>
      </c>
      <c r="DA250" s="243" t="inlineStr">
        <is>
          <t>130,72x</t>
        </is>
      </c>
      <c r="DB250" s="244" t="inlineStr">
        <is>
          <t>99</t>
        </is>
      </c>
      <c r="DC250" s="245" t="inlineStr">
        <is>
          <t>313,46x</t>
        </is>
      </c>
      <c r="DD250" s="246" t="inlineStr">
        <is>
          <t>99</t>
        </is>
      </c>
      <c r="DE250" s="247" t="inlineStr">
        <is>
          <t>31,67x</t>
        </is>
      </c>
      <c r="DF250" s="248" t="inlineStr">
        <is>
          <t>95</t>
        </is>
      </c>
      <c r="DG250" s="249" t="inlineStr">
        <is>
          <t>229,78x</t>
        </is>
      </c>
      <c r="DH250" s="250" t="inlineStr">
        <is>
          <t>100</t>
        </is>
      </c>
      <c r="DI250" s="251" t="inlineStr">
        <is>
          <t>313,66x</t>
        </is>
      </c>
      <c r="DJ250" s="252" t="inlineStr">
        <is>
          <t>98</t>
        </is>
      </c>
      <c r="DK250" s="253" t="inlineStr">
        <is>
          <t>313,26x</t>
        </is>
      </c>
      <c r="DL250" s="254" t="inlineStr">
        <is>
          <t>99</t>
        </is>
      </c>
      <c r="DM250" s="255" t="inlineStr">
        <is>
          <t>11.666</t>
        </is>
      </c>
      <c r="DN250" s="256" t="inlineStr">
        <is>
          <t>413</t>
        </is>
      </c>
      <c r="DO250" s="257" t="inlineStr">
        <is>
          <t>3,67%</t>
        </is>
      </c>
      <c r="DP250" s="258" t="inlineStr">
        <is>
          <t>247.969</t>
        </is>
      </c>
      <c r="DQ250" s="259" t="inlineStr">
        <is>
          <t>1.579</t>
        </is>
      </c>
      <c r="DR250" s="260" t="inlineStr">
        <is>
          <t>0,64%</t>
        </is>
      </c>
      <c r="DS250" s="261" t="inlineStr">
        <is>
          <t>8.265</t>
        </is>
      </c>
      <c r="DT250" s="262" t="inlineStr">
        <is>
          <t>16</t>
        </is>
      </c>
      <c r="DU250" s="263" t="inlineStr">
        <is>
          <t>0,19%</t>
        </is>
      </c>
      <c r="DV250" s="264" t="inlineStr">
        <is>
          <t>117.098</t>
        </is>
      </c>
      <c r="DW250" s="265" t="inlineStr">
        <is>
          <t>284</t>
        </is>
      </c>
      <c r="DX250" s="266" t="inlineStr">
        <is>
          <t>0,24%</t>
        </is>
      </c>
      <c r="DY250" s="267" t="inlineStr">
        <is>
          <t>PitchBook Research</t>
        </is>
      </c>
      <c r="DZ250" s="786">
        <f>HYPERLINK("https://my.pitchbook.com?c=58212-10", "View company online")</f>
      </c>
    </row>
    <row r="251">
      <c r="A251" s="9" t="inlineStr">
        <is>
          <t>222626-71</t>
        </is>
      </c>
      <c r="B251" s="10" t="inlineStr">
        <is>
          <t>StrideUp</t>
        </is>
      </c>
      <c r="C251" s="11" t="inlineStr">
        <is>
          <t/>
        </is>
      </c>
      <c r="D251" s="12" t="inlineStr">
        <is>
          <t/>
        </is>
      </c>
      <c r="E251" s="13" t="inlineStr">
        <is>
          <t>222626-71</t>
        </is>
      </c>
      <c r="F251" s="14" t="inlineStr">
        <is>
          <t>Provider of a home financing platform created to revolutionize home finance for the better. The company's home financing platform breaks down the binary nature of homeownership where homebuyers can find a property, buy a portion of it and gradually increase their ownership over time, enabling buyers to enjoy the security and freedom of homeownership, while saving themselves from a large mortgage.</t>
        </is>
      </c>
      <c r="G251" s="15" t="inlineStr">
        <is>
          <t>Financial Services</t>
        </is>
      </c>
      <c r="H251" s="16" t="inlineStr">
        <is>
          <t>Other Financial Services</t>
        </is>
      </c>
      <c r="I251" s="17" t="inlineStr">
        <is>
          <t>Other Financial Services</t>
        </is>
      </c>
      <c r="J251" s="18" t="inlineStr">
        <is>
          <t>Other Financial Services*; Financial Software</t>
        </is>
      </c>
      <c r="K251" s="19" t="inlineStr">
        <is>
          <t>FinTech</t>
        </is>
      </c>
      <c r="L251" s="20" t="inlineStr">
        <is>
          <t>Venture Capital-Backed</t>
        </is>
      </c>
      <c r="M251" s="21" t="inlineStr">
        <is>
          <t/>
        </is>
      </c>
      <c r="N251" s="22" t="inlineStr">
        <is>
          <t>Generating Revenue</t>
        </is>
      </c>
      <c r="O251" s="23" t="inlineStr">
        <is>
          <t>Privately Held (backing)</t>
        </is>
      </c>
      <c r="P251" s="24" t="inlineStr">
        <is>
          <t>Venture Capital</t>
        </is>
      </c>
      <c r="Q251" s="25" t="inlineStr">
        <is>
          <t>www.strideup.co</t>
        </is>
      </c>
      <c r="R251" s="26" t="inlineStr">
        <is>
          <t/>
        </is>
      </c>
      <c r="S251" s="27" t="inlineStr">
        <is>
          <t/>
        </is>
      </c>
      <c r="T251" s="28" t="inlineStr">
        <is>
          <t/>
        </is>
      </c>
      <c r="U251" s="29" t="n">
        <v>2016.0</v>
      </c>
      <c r="V251" s="30" t="inlineStr">
        <is>
          <t/>
        </is>
      </c>
      <c r="W251" s="31" t="inlineStr">
        <is>
          <r>
            <rPr>
              <b/>
              <color rgb="ff26854d"/>
              <rFont val="Arial"/>
              <sz val="8.0"/>
            </rPr>
            <t>New Company</t>
          </r>
        </is>
      </c>
      <c r="X251" s="32" t="inlineStr">
        <is>
          <r>
            <rPr>
              <b/>
              <color rgb="ff26854d"/>
              <rFont val="Arial"/>
              <sz val="8.0"/>
            </rPr>
            <t>New Company</t>
          </r>
        </is>
      </c>
      <c r="Y251" s="33" t="inlineStr">
        <is>
          <t/>
        </is>
      </c>
      <c r="Z251" s="34" t="inlineStr">
        <is>
          <t/>
        </is>
      </c>
      <c r="AA251" s="35" t="inlineStr">
        <is>
          <t/>
        </is>
      </c>
      <c r="AB251" s="36" t="inlineStr">
        <is>
          <t/>
        </is>
      </c>
      <c r="AC251" s="37" t="inlineStr">
        <is>
          <t/>
        </is>
      </c>
      <c r="AD251" s="38" t="inlineStr">
        <is>
          <t/>
        </is>
      </c>
      <c r="AE251" s="39" t="inlineStr">
        <is>
          <t>175359-97P</t>
        </is>
      </c>
      <c r="AF251" s="40" t="inlineStr">
        <is>
          <t>Sakeeb Zaman</t>
        </is>
      </c>
      <c r="AG251" s="41" t="inlineStr">
        <is>
          <t>Co-Founder &amp; Chief Executive Officer</t>
        </is>
      </c>
      <c r="AH251" s="42" t="inlineStr">
        <is>
          <t>sakeeb@strideup.co</t>
        </is>
      </c>
      <c r="AI251" s="43" t="inlineStr">
        <is>
          <t>+44 (0)20 3875 3585</t>
        </is>
      </c>
      <c r="AJ251" s="44" t="inlineStr">
        <is>
          <t>London, United Kingdom</t>
        </is>
      </c>
      <c r="AK251" s="45" t="inlineStr">
        <is>
          <t>14 Gray's Inn Road</t>
        </is>
      </c>
      <c r="AL251" s="46" t="inlineStr">
        <is>
          <t/>
        </is>
      </c>
      <c r="AM251" s="47" t="inlineStr">
        <is>
          <t>London</t>
        </is>
      </c>
      <c r="AN251" s="48" t="inlineStr">
        <is>
          <t>England</t>
        </is>
      </c>
      <c r="AO251" s="49" t="inlineStr">
        <is>
          <t>WC1X 8HN</t>
        </is>
      </c>
      <c r="AP251" s="50" t="inlineStr">
        <is>
          <t>United Kingdom</t>
        </is>
      </c>
      <c r="AQ251" s="51" t="inlineStr">
        <is>
          <t>+44 (0)20 3875 3585</t>
        </is>
      </c>
      <c r="AR251" s="52" t="inlineStr">
        <is>
          <t/>
        </is>
      </c>
      <c r="AS251" s="53" t="inlineStr">
        <is>
          <t>hello@strideup.co</t>
        </is>
      </c>
      <c r="AT251" s="54" t="inlineStr">
        <is>
          <t>Europe</t>
        </is>
      </c>
      <c r="AU251" s="55" t="inlineStr">
        <is>
          <t>Western Europe</t>
        </is>
      </c>
      <c r="AV251" s="56" t="inlineStr">
        <is>
          <t>The company raised GBP 1.6 million of seed funding through a combination of debt and equity in a deal led by Picus Capital on November 28, 2017. Undisclosed group of angel investors with technology, finance and real estate expertise also participated.</t>
        </is>
      </c>
      <c r="AW251" s="57" t="inlineStr">
        <is>
          <t>Picus Capital</t>
        </is>
      </c>
      <c r="AX251" s="58" t="n">
        <v>1.0</v>
      </c>
      <c r="AY251" s="59" t="inlineStr">
        <is>
          <t/>
        </is>
      </c>
      <c r="AZ251" s="60" t="inlineStr">
        <is>
          <t/>
        </is>
      </c>
      <c r="BA251" s="61" t="inlineStr">
        <is>
          <t/>
        </is>
      </c>
      <c r="BB251" s="62" t="inlineStr">
        <is>
          <t>Picus Capital (www.picus-cap.com)</t>
        </is>
      </c>
      <c r="BC251" s="63" t="inlineStr">
        <is>
          <t/>
        </is>
      </c>
      <c r="BD251" s="64" t="inlineStr">
        <is>
          <t/>
        </is>
      </c>
      <c r="BE251" s="65" t="inlineStr">
        <is>
          <t/>
        </is>
      </c>
      <c r="BF251" s="66" t="inlineStr">
        <is>
          <t>Picus Capital (Debt Financing)</t>
        </is>
      </c>
      <c r="BG251" s="67" t="n">
        <v>43067.0</v>
      </c>
      <c r="BH251" s="68" t="n">
        <v>1.8</v>
      </c>
      <c r="BI251" s="69" t="inlineStr">
        <is>
          <t>Actual</t>
        </is>
      </c>
      <c r="BJ251" s="70" t="inlineStr">
        <is>
          <t/>
        </is>
      </c>
      <c r="BK251" s="71" t="inlineStr">
        <is>
          <t/>
        </is>
      </c>
      <c r="BL251" s="72" t="inlineStr">
        <is>
          <t>Seed Round</t>
        </is>
      </c>
      <c r="BM251" s="73" t="inlineStr">
        <is>
          <t>Seed</t>
        </is>
      </c>
      <c r="BN251" s="74" t="inlineStr">
        <is>
          <t/>
        </is>
      </c>
      <c r="BO251" s="75" t="inlineStr">
        <is>
          <t>Venture Capital</t>
        </is>
      </c>
      <c r="BP251" s="76" t="inlineStr">
        <is>
          <t>Other Debt</t>
        </is>
      </c>
      <c r="BQ251" s="77" t="inlineStr">
        <is>
          <t/>
        </is>
      </c>
      <c r="BR251" s="78" t="inlineStr">
        <is>
          <t/>
        </is>
      </c>
      <c r="BS251" s="79" t="inlineStr">
        <is>
          <t>Completed</t>
        </is>
      </c>
      <c r="BT251" s="80" t="n">
        <v>43067.0</v>
      </c>
      <c r="BU251" s="81" t="n">
        <v>1.8</v>
      </c>
      <c r="BV251" s="82" t="inlineStr">
        <is>
          <t>Actual</t>
        </is>
      </c>
      <c r="BW251" s="83" t="inlineStr">
        <is>
          <t/>
        </is>
      </c>
      <c r="BX251" s="84" t="inlineStr">
        <is>
          <t/>
        </is>
      </c>
      <c r="BY251" s="85" t="inlineStr">
        <is>
          <t>Seed Round</t>
        </is>
      </c>
      <c r="BZ251" s="86" t="inlineStr">
        <is>
          <t>Seed</t>
        </is>
      </c>
      <c r="CA251" s="87" t="inlineStr">
        <is>
          <t/>
        </is>
      </c>
      <c r="CB251" s="88" t="inlineStr">
        <is>
          <t>Venture Capital</t>
        </is>
      </c>
      <c r="CC251" s="89" t="inlineStr">
        <is>
          <t>Other Debt</t>
        </is>
      </c>
      <c r="CD251" s="90" t="inlineStr">
        <is>
          <t/>
        </is>
      </c>
      <c r="CE251" s="91" t="inlineStr">
        <is>
          <t/>
        </is>
      </c>
      <c r="CF251" s="92" t="inlineStr">
        <is>
          <t>Completed</t>
        </is>
      </c>
      <c r="CG251" s="93" t="inlineStr">
        <is>
          <t/>
        </is>
      </c>
      <c r="CH251" s="94" t="inlineStr">
        <is>
          <t/>
        </is>
      </c>
      <c r="CI251" s="95" t="inlineStr">
        <is>
          <t/>
        </is>
      </c>
      <c r="CJ251" s="96" t="inlineStr">
        <is>
          <t/>
        </is>
      </c>
      <c r="CK251" s="97" t="inlineStr">
        <is>
          <t/>
        </is>
      </c>
      <c r="CL251" s="98" t="inlineStr">
        <is>
          <t/>
        </is>
      </c>
      <c r="CM251" s="99" t="inlineStr">
        <is>
          <t/>
        </is>
      </c>
      <c r="CN251" s="100" t="inlineStr">
        <is>
          <t/>
        </is>
      </c>
      <c r="CO251" s="101" t="inlineStr">
        <is>
          <t/>
        </is>
      </c>
      <c r="CP251" s="102" t="inlineStr">
        <is>
          <t/>
        </is>
      </c>
      <c r="CQ251" s="103" t="inlineStr">
        <is>
          <t/>
        </is>
      </c>
      <c r="CR251" s="104" t="inlineStr">
        <is>
          <t/>
        </is>
      </c>
      <c r="CS251" s="105" t="inlineStr">
        <is>
          <t/>
        </is>
      </c>
      <c r="CT251" s="106" t="inlineStr">
        <is>
          <t/>
        </is>
      </c>
      <c r="CU251" s="107" t="inlineStr">
        <is>
          <t/>
        </is>
      </c>
      <c r="CV251" s="108" t="inlineStr">
        <is>
          <t/>
        </is>
      </c>
      <c r="CW251" s="109" t="inlineStr">
        <is>
          <t/>
        </is>
      </c>
      <c r="CX251" s="110" t="inlineStr">
        <is>
          <t/>
        </is>
      </c>
      <c r="CY251" s="111" t="inlineStr">
        <is>
          <t/>
        </is>
      </c>
      <c r="CZ251" s="112" t="inlineStr">
        <is>
          <t/>
        </is>
      </c>
      <c r="DA251" s="113" t="inlineStr">
        <is>
          <t/>
        </is>
      </c>
      <c r="DB251" s="114" t="inlineStr">
        <is>
          <t/>
        </is>
      </c>
      <c r="DC251" s="115" t="inlineStr">
        <is>
          <t/>
        </is>
      </c>
      <c r="DD251" s="116" t="inlineStr">
        <is>
          <t/>
        </is>
      </c>
      <c r="DE251" s="117" t="inlineStr">
        <is>
          <t/>
        </is>
      </c>
      <c r="DF251" s="118" t="inlineStr">
        <is>
          <t/>
        </is>
      </c>
      <c r="DG251" s="119" t="inlineStr">
        <is>
          <t/>
        </is>
      </c>
      <c r="DH251" s="120" t="inlineStr">
        <is>
          <t/>
        </is>
      </c>
      <c r="DI251" s="121" t="inlineStr">
        <is>
          <t/>
        </is>
      </c>
      <c r="DJ251" s="122" t="inlineStr">
        <is>
          <t/>
        </is>
      </c>
      <c r="DK251" s="123" t="inlineStr">
        <is>
          <t/>
        </is>
      </c>
      <c r="DL251" s="124" t="inlineStr">
        <is>
          <t/>
        </is>
      </c>
      <c r="DM251" s="125" t="inlineStr">
        <is>
          <t/>
        </is>
      </c>
      <c r="DN251" s="126" t="inlineStr">
        <is>
          <t/>
        </is>
      </c>
      <c r="DO251" s="127" t="inlineStr">
        <is>
          <t/>
        </is>
      </c>
      <c r="DP251" s="128" t="inlineStr">
        <is>
          <t/>
        </is>
      </c>
      <c r="DQ251" s="129" t="inlineStr">
        <is>
          <t/>
        </is>
      </c>
      <c r="DR251" s="130" t="inlineStr">
        <is>
          <t/>
        </is>
      </c>
      <c r="DS251" s="131" t="inlineStr">
        <is>
          <t/>
        </is>
      </c>
      <c r="DT251" s="132" t="inlineStr">
        <is>
          <t/>
        </is>
      </c>
      <c r="DU251" s="133" t="inlineStr">
        <is>
          <t/>
        </is>
      </c>
      <c r="DV251" s="134" t="inlineStr">
        <is>
          <t/>
        </is>
      </c>
      <c r="DW251" s="135" t="inlineStr">
        <is>
          <t/>
        </is>
      </c>
      <c r="DX251" s="136" t="inlineStr">
        <is>
          <t/>
        </is>
      </c>
      <c r="DY251" s="137" t="inlineStr">
        <is>
          <t>PitchBook Research</t>
        </is>
      </c>
      <c r="DZ251" s="785">
        <f>HYPERLINK("https://my.pitchbook.com?c=222626-71", "View company online")</f>
      </c>
    </row>
    <row r="254">
      <c r="A254" s="787" t="inlineStr">
        <is>
          <t>© PitchBook Data, Inc. 2017</t>
        </is>
      </c>
    </row>
  </sheetData>
  <mergeCells count="1">
    <mergeCell ref="B4:D6"/>
  </mergeCells>
  <pageMargins left="0.7" right="0.7" top="0.75" bottom="0.75" header="0.3" footer="0.3"/>
  <pageSetup paperSize="9" orientation="portrait" horizontalDpi="0" verticalDpi="0" r:id="rId1"/>
  <drawing r:id="rId2"/>
  <legacyDrawing r:id="rId4"/>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788">
        <v>139</v>
      </c>
    </row>
    <row r="3">
      <c r="A3" t="s" s="789">
        <v>140</v>
      </c>
    </row>
    <row r="4">
      <c r="A4" t="s" s="797">
        <f>HYPERLINK("mailto:clientservices@pitchbook.com ", "clientservices@pitchbook.com ")</f>
      </c>
    </row>
    <row r="6">
      <c r="A6" t="s" s="791">
        <v>142</v>
      </c>
      <c r="B6" t="s" s="796">
        <f>HYPERLINK("http://www.pitchbook.com/agreement", "PitchBook User Agreement")</f>
      </c>
      <c r="C6" t="s" s="793">
        <v>144</v>
      </c>
    </row>
    <row r="8">
      <c r="A8" t="s" s="794">
        <v>145</v>
      </c>
      <c r="I8" t="s" s="798">
        <f>HYPERLINK("mailto:clientservices@pitchbook.com", "clientservices@pitchbook.com.")</f>
      </c>
    </row>
    <row r="10">
      <c r="A10" t="s" s="799">
        <v>147</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