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28755" windowHeight="13095" activeTab="0"/>
  </bookViews>
  <sheets>
    <sheet name="Data" sheetId="6" r:id="rId1"/>
    <sheet name="Disclaimer" r:id="rId5" sheetId="7"/>
  </sheets>
  <calcPr calcId="125725"/>
</workbook>
</file>

<file path=xl/comments6.xml><?xml version="1.0" encoding="utf-8"?>
<comments xmlns="http://schemas.openxmlformats.org/spreadsheetml/2006/main">
  <authors>
    <author/>
  </authors>
  <commentList>
    <comment ref="BT17" authorId="0">
      <text>
        <t>Expected</t>
      </text>
    </comment>
  </commentList>
</comments>
</file>

<file path=xl/sharedStrings.xml><?xml version="1.0" encoding="utf-8"?>
<sst xmlns="http://schemas.openxmlformats.org/spreadsheetml/2006/main" count="149" uniqueCount="148">
  <si>
    <t>Search Criteria:</t>
  </si>
  <si>
    <t>Downloaded on:</t>
  </si>
  <si>
    <t xml:space="preserve"> </t>
  </si>
  <si>
    <t>Created for:</t>
  </si>
  <si>
    <t>All Columns</t>
  </si>
  <si>
    <t xml:space="preserve">Deal Status: Completed; Deal Date: From: 01-Jan-2017; Deal Size: Min: 0,5M; Deal Option: Search on a full transaction; Deal Type: All VC Stages &gt; Later stage VC; Verticals: 3D Printing; AdTech; AgTech; Artificial Intelligence &amp; Machine Learning; AudioTech; Autonomous cars; Big Data; CleanTech; Cryptocurrency/Blockchain; Cybersecurity; E-Commerce; EdTech; Ephemeral Content; FinTech; InsurTech; Internet of Things; LOHAS &amp; Wellness; Manufacturing; Marketing Tech; Mobile; Nanotechnology; Robotics and Drones; SaaS; Space Technology; Virtual Reality; Wearables &amp; Quantified Self; Location: Europe; Search HQ Only; </t>
  </si>
  <si>
    <t>11/30/2017</t>
  </si>
  <si>
    <t>Milda Jasaite, EarlyBird Venture Capital</t>
  </si>
  <si>
    <t>Company ID</t>
  </si>
  <si>
    <t>Company Name</t>
  </si>
  <si>
    <t>Company Former Name</t>
  </si>
  <si>
    <t>Company Also Known As</t>
  </si>
  <si>
    <t>PBId</t>
  </si>
  <si>
    <t>Description</t>
  </si>
  <si>
    <t>Primary Industry Sector</t>
  </si>
  <si>
    <t>Primary Industry Group</t>
  </si>
  <si>
    <t>Primary Industry Code</t>
  </si>
  <si>
    <t>All Industries</t>
  </si>
  <si>
    <t>Industry Vertical</t>
  </si>
  <si>
    <t>Company Financing Status</t>
  </si>
  <si>
    <t>Total Raised</t>
  </si>
  <si>
    <t>Business Status</t>
  </si>
  <si>
    <t>Ownership Status</t>
  </si>
  <si>
    <t>Universe</t>
  </si>
  <si>
    <t>Website</t>
  </si>
  <si>
    <t>Employees</t>
  </si>
  <si>
    <t>Exchange</t>
  </si>
  <si>
    <t>Ticker</t>
  </si>
  <si>
    <t>Year Founded</t>
  </si>
  <si>
    <t>Parent Company</t>
  </si>
  <si>
    <t>Daily Updates</t>
  </si>
  <si>
    <t>Weekly Updates</t>
  </si>
  <si>
    <t>Revenue</t>
  </si>
  <si>
    <t>Gross Profit</t>
  </si>
  <si>
    <t>Net Income</t>
  </si>
  <si>
    <t>Enterprise Value</t>
  </si>
  <si>
    <t>EBITDA</t>
  </si>
  <si>
    <t>Fiscal Period</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</si>
  <si>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</si>
  <si>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</si>
  <si>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</si>
  <si>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</si>
  <si>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</si>
  <si>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</si>
  <si>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</si>
  <si>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</si>
  <si>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</si>
  <si>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</si>
  <si>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</si>
  <si>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
  </si>
  <si>
    <t>HQ Phone</t>
  </si>
  <si>
    <t>HQ Fax</t>
  </si>
  <si>
    <t>HQ Email</t>
  </si>
  <si>
    <t>HQ Global Region</t>
  </si>
  <si>
    <t>HQ Global Sub Region</t>
  </si>
  <si>
    <t>Financing Status Note</t>
  </si>
  <si>
    <t>Active Investors</t>
  </si>
  <si>
    <t># Active Investors</t>
  </si>
  <si>
    <t>Acquirers</t>
  </si>
  <si>
    <t>Former Investors</t>
  </si>
  <si>
    <t>Other Investors</t>
  </si>
  <si>
    <t>Active Investors Websites</t>
  </si>
  <si>
    <t>Former Investors Websites</t>
  </si>
  <si>
    <t>Other Investors Websites</t>
  </si>
  <si>
    <t>General Services</t>
  </si>
  <si>
    <t>Services on a Deal</t>
  </si>
  <si>
    <t>First Financing Date</t>
  </si>
  <si>
    <t>First Financing Size</t>
  </si>
  <si>
    <t>First Financing Size Status</t>
  </si>
  <si>
    <t>First Financing Valuation</t>
  </si>
  <si>
    <t>First Financing Valuation Status</t>
  </si>
  <si>
    <t>First Financing Deal Type</t>
  </si>
  <si>
    <t>First Financing Deal Type 2</t>
  </si>
  <si>
    <t>First Financing Deal Type 3</t>
  </si>
  <si>
    <t>First Financing Deal Class</t>
  </si>
  <si>
    <t>First Financing Debt Type</t>
  </si>
  <si>
    <t>First Financing Debt Type 2</t>
  </si>
  <si>
    <t>First Financing Debt Type 3</t>
  </si>
  <si>
    <t>First Financing Status</t>
  </si>
  <si>
    <t>Last Financing Date</t>
  </si>
  <si>
    <t>Last Financing Size</t>
  </si>
  <si>
    <t>Last Financing Size Status</t>
  </si>
  <si>
    <t>Last Financing Valuation</t>
  </si>
  <si>
    <t>Last Financing Valuation Status</t>
  </si>
  <si>
    <t>Last Financing Deal Type</t>
  </si>
  <si>
    <t xml:space="preserve">Last Financing Deal Type 2 </t>
  </si>
  <si>
    <t>Last Financing Deal Type 3</t>
  </si>
  <si>
    <t>Last Financing Deal Class</t>
  </si>
  <si>
    <t>Last Financing Debt Type</t>
  </si>
  <si>
    <t>Last Financing Debt Type 2</t>
  </si>
  <si>
    <t>Last Financing Debt Type 3</t>
  </si>
  <si>
    <t>Last Financing Status</t>
  </si>
  <si>
    <t>Growth Rate</t>
  </si>
  <si>
    <t>Growth Rate Percentile</t>
  </si>
  <si>
    <t>Growth Rate Change</t>
  </si>
  <si>
    <t>Growth Rate % Change</t>
  </si>
  <si>
    <t>Web Growth Rate</t>
  </si>
  <si>
    <t>Web Growth Rate Percentile</t>
  </si>
  <si>
    <t>Social Growth Rate</t>
  </si>
  <si>
    <t>Social Growth Rate Percentile</t>
  </si>
  <si>
    <t>SimilarWeb Growth Rate</t>
  </si>
  <si>
    <t>SimilarWeb Growth Rate Percentile</t>
  </si>
  <si>
    <t>Majestic Growth Rate</t>
  </si>
  <si>
    <t>Majestic Growth Rate Percentile</t>
  </si>
  <si>
    <t>Facebook Growth Rate</t>
  </si>
  <si>
    <t>Facebook Growth Rate Percentile</t>
  </si>
  <si>
    <t>Twitter Growth Rate</t>
  </si>
  <si>
    <t>Twitter Growth Rate Percentile</t>
  </si>
  <si>
    <t>Size Multiple</t>
  </si>
  <si>
    <t>Size Multiple Percentile</t>
  </si>
  <si>
    <t>Size Multiple Change</t>
  </si>
  <si>
    <t>Size Multiple % Change</t>
  </si>
  <si>
    <t>Web Size Multiple</t>
  </si>
  <si>
    <t>Web Size Multiple Percentile</t>
  </si>
  <si>
    <t>Social Size Multiple</t>
  </si>
  <si>
    <t>Social Size Multiple Percentile</t>
  </si>
  <si>
    <t>SimilarWeb Size Multiple</t>
  </si>
  <si>
    <t>SimilarWeb Size Multiple Percentile</t>
  </si>
  <si>
    <t>Majestic Size Multiple</t>
  </si>
  <si>
    <t>Majestic Size Multiple Percentile</t>
  </si>
  <si>
    <t>Facebook Size Multiple</t>
  </si>
  <si>
    <t>Facebook Size Multiple Percentile</t>
  </si>
  <si>
    <t>Twitter Size Multiple</t>
  </si>
  <si>
    <t>Twitter Size Multiple Percentile</t>
  </si>
  <si>
    <t>SimilarWeb Unique Visitors</t>
  </si>
  <si>
    <t>SimilarWeb Unique Visitors Change</t>
  </si>
  <si>
    <t>SimilarWeb Unique Visitors % Change</t>
  </si>
  <si>
    <t>Facebook Likes</t>
  </si>
  <si>
    <t>Facebook Likes Change</t>
  </si>
  <si>
    <t>Facebook Likes % Change</t>
  </si>
  <si>
    <t>Majestic Referring Domains</t>
  </si>
  <si>
    <t>Majestic Referring Domains Change</t>
  </si>
  <si>
    <t>Majestic Referring Domains % Change</t>
  </si>
  <si>
    <t>Twitter Followers</t>
  </si>
  <si>
    <t>Twitter Followers Change</t>
  </si>
  <si>
    <t>Twitter Followers % Change</t>
  </si>
  <si>
    <t>Profile Data Source</t>
  </si>
  <si>
    <t>PitchBook Link</t>
  </si>
  <si>
    <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</si>
  <si>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</si>
  <si>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</si>
  <si>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</si>
  <si>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</si>
  <si>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</si>
  <si>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</si>
  <si>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</si>
  <si>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</si>
  <si>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2017</t>
  </si>
</sst>
</file>

<file path=xl/styles.xml><?xml version="1.0" encoding="utf-8"?>
<styleSheet xmlns="http://schemas.openxmlformats.org/spreadsheetml/2006/main">
  <numFmts count="7">
    <numFmt numFmtId="165" formatCode="#,##0.00;[red](#,##0.00)"/>
    <numFmt numFmtId="166" formatCode="#,##0;[red](#,##0)"/>
    <numFmt numFmtId="167" formatCode="0000"/>
    <numFmt numFmtId="168" formatCode="dd-MMM-yyyy"/>
    <numFmt numFmtId="169" formatCode="#,##0.00&quot;%&quot;;[red]-#,##0.00&quot;%&quot;"/>
    <numFmt numFmtId="170" formatCode="#,###"/>
    <numFmt numFmtId="171" formatCode="#,##0.00x;[red]-#,##0.00x"/>
  </numFmts>
  <fonts count="800">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0">
    <fill>
      <patternFill patternType="none"/>
    </fill>
    <fill>
      <patternFill patternType="gray125"/>
    </fill>
    <fill>
      <patternFill patternType="solid">
        <fgColor indexed="9"/>
        <bgColor indexed="64"/>
      </patternFill>
    </fill>
    <fill>
      <patternFill>
        <fgColor rgb="4F81BD"/>
      </patternFill>
    </fill>
    <fill>
      <patternFill patternType="solid">
        <fgColor rgb="4F81BD"/>
      </patternFill>
    </fill>
    <fill>
      <patternFill>
        <fgColor rgb="EEF3F8"/>
      </patternFill>
    </fill>
    <fill>
      <patternFill patternType="solid">
        <fgColor rgb="EEF3F8"/>
      </patternFill>
    </fill>
    <fill>
      <patternFill>
        <fgColor rgb="FFFFFF"/>
      </patternFill>
    </fill>
    <fill>
      <patternFill patternType="solid">
        <fgColor rgb="FFFFFF"/>
      </patternFill>
    </fill>
    <fill>
      <patternFill patternType="solid">
        <fgColor rgb="FFFFFF"/>
        <bgColor indexed="64"/>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800">
    <xf numFmtId="0" fontId="0" fillId="0" borderId="0" xfId="0"/>
    <xf numFmtId="0" fontId="3" fillId="2" borderId="0" xfId="0" applyFont="1" applyFill="1" applyAlignment="1">
      <alignment horizontal="right"/>
    </xf>
    <xf numFmtId="0" fontId="2" fillId="0" borderId="0" xfId="0" applyFont="1" applyAlignment="1">
      <alignment horizontal="center" vertical="top"/>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4" fillId="2" borderId="0" xfId="0" applyFont="1" applyFill="1" applyAlignment="1">
      <alignment horizontal="left" vertical="top" wrapText="true"/>
    </xf>
    <xf numFmtId="0" fontId="7" fillId="4" borderId="2" xfId="0" applyFill="true" applyFont="true" applyBorder="true">
      <alignment horizontal="center" vertical="center" wrapText="true"/>
    </xf>
    <xf numFmtId="0" fontId="8" fillId="4" borderId="4" xfId="0" applyFill="true" applyFont="true" applyBorder="true">
      <alignment horizontal="center" vertical="center" wrapText="true"/>
    </xf>
    <xf numFmtId="0" fontId="9" fillId="6" borderId="6" xfId="0" applyFill="true" applyFont="true" applyBorder="true">
      <alignment horizontal="general" vertical="top" indent="1" wrapText="false"/>
    </xf>
    <xf numFmtId="0" fontId="10" fillId="6" borderId="6" xfId="0" applyFill="true" applyFont="true" applyBorder="true">
      <alignment horizontal="left" vertical="top" indent="1" wrapText="false"/>
    </xf>
    <xf numFmtId="0" fontId="11" fillId="6" borderId="6" xfId="0" applyFill="true" applyFont="true" applyBorder="true">
      <alignment horizontal="left" vertical="top" indent="1" wrapText="false"/>
    </xf>
    <xf numFmtId="0" fontId="12" fillId="6" borderId="6" xfId="0" applyFill="true" applyFont="true" applyBorder="true">
      <alignment horizontal="left" vertical="top" indent="1" wrapText="false"/>
    </xf>
    <xf numFmtId="0" fontId="13" fillId="6" borderId="6" xfId="0" applyFill="true" applyFont="true" applyBorder="true">
      <alignment horizontal="left" vertical="top" indent="1" wrapText="false"/>
    </xf>
    <xf numFmtId="0" fontId="14" fillId="6" borderId="6" xfId="0" applyFill="true" applyFont="true" applyBorder="true">
      <alignment horizontal="left" vertical="top" indent="1" wrapText="false"/>
    </xf>
    <xf numFmtId="0" fontId="15" fillId="6" borderId="6" xfId="0" applyFill="true" applyFont="true" applyBorder="true">
      <alignment horizontal="left" vertical="top" indent="1" wrapText="false"/>
    </xf>
    <xf numFmtId="0" fontId="16" fillId="6" borderId="6" xfId="0" applyFill="true" applyFont="true" applyBorder="true">
      <alignment horizontal="left" vertical="top" indent="1" wrapText="false"/>
    </xf>
    <xf numFmtId="0" fontId="17" fillId="6" borderId="6" xfId="0" applyFill="true" applyFont="true" applyBorder="true">
      <alignment horizontal="left" vertical="top" indent="1" wrapText="false"/>
    </xf>
    <xf numFmtId="0" fontId="18" fillId="6" borderId="6" xfId="0" applyFill="true" applyFont="true" applyBorder="true">
      <alignment horizontal="left" vertical="top" indent="1" wrapText="false"/>
    </xf>
    <xf numFmtId="0" fontId="19" fillId="6" borderId="6" xfId="0" applyFill="true" applyFont="true" applyBorder="true">
      <alignment horizontal="left" vertical="top" indent="1" wrapText="false"/>
    </xf>
    <xf numFmtId="0" fontId="20" fillId="6" borderId="6" xfId="0" applyFill="true" applyFont="true" applyBorder="true">
      <alignment horizontal="left" vertical="top" indent="1" wrapText="false"/>
    </xf>
    <xf numFmtId="165" fontId="21" fillId="6" borderId="6" xfId="0" applyFill="true" applyFont="true" applyBorder="true" applyNumberFormat="true">
      <alignment horizontal="right" vertical="top" indent="1" wrapText="false"/>
    </xf>
    <xf numFmtId="0" fontId="22" fillId="6" borderId="6" xfId="0" applyFill="true" applyFont="true" applyBorder="true">
      <alignment horizontal="left" vertical="top" indent="1" wrapText="false"/>
    </xf>
    <xf numFmtId="0" fontId="23" fillId="6" borderId="6" xfId="0" applyFill="true" applyFont="true" applyBorder="true">
      <alignment horizontal="left" vertical="top" indent="1" wrapText="false"/>
    </xf>
    <xf numFmtId="0" fontId="24" fillId="6" borderId="6" xfId="0" applyFill="true" applyFont="true" applyBorder="true">
      <alignment horizontal="left" vertical="top" indent="1" wrapText="false"/>
    </xf>
    <xf numFmtId="0" fontId="25" fillId="6" borderId="6" xfId="0" applyFill="true" applyFont="true" applyBorder="true">
      <alignment horizontal="left" vertical="top" indent="1" wrapText="false"/>
    </xf>
    <xf numFmtId="166" fontId="26" fillId="6" borderId="6" xfId="0" applyFill="true" applyFont="true" applyBorder="true" applyNumberFormat="true">
      <alignment horizontal="right" vertical="top" indent="1" wrapText="false"/>
    </xf>
    <xf numFmtId="0" fontId="27" fillId="6" borderId="6" xfId="0" applyFill="true" applyFont="true" applyBorder="true">
      <alignment horizontal="left" vertical="top" indent="1" wrapText="false"/>
    </xf>
    <xf numFmtId="0" fontId="28" fillId="6" borderId="6" xfId="0" applyFill="true" applyFont="true" applyBorder="true">
      <alignment horizontal="left" vertical="top" indent="1" wrapText="false"/>
    </xf>
    <xf numFmtId="167" fontId="29" fillId="6" borderId="6" xfId="0" applyFill="true" applyFont="true" applyBorder="true" applyNumberFormat="true">
      <alignment horizontal="right" vertical="top" indent="1" wrapText="false"/>
    </xf>
    <xf numFmtId="0" fontId="30" fillId="6" borderId="6" xfId="0" applyFill="true" applyFont="true" applyBorder="true">
      <alignment horizontal="left" vertical="top" indent="1" wrapText="false"/>
    </xf>
    <xf numFmtId="0" fontId="31" fillId="6" borderId="6" xfId="0" applyFill="true" applyFont="true" applyBorder="true">
      <alignment horizontal="left" vertical="top" indent="1" wrapText="true"/>
    </xf>
    <xf numFmtId="0" fontId="32" fillId="6" borderId="6" xfId="0" applyFill="true" applyFont="true" applyBorder="true">
      <alignment horizontal="left" vertical="top" indent="1" wrapText="true"/>
    </xf>
    <xf numFmtId="165" fontId="33" fillId="6" borderId="6" xfId="0" applyFill="true" applyFont="true" applyBorder="true" applyNumberFormat="true">
      <alignment horizontal="right" vertical="top" indent="1" wrapText="false"/>
    </xf>
    <xf numFmtId="165" fontId="34" fillId="6" borderId="6" xfId="0" applyFill="true" applyFont="true" applyBorder="true" applyNumberFormat="true">
      <alignment horizontal="right" vertical="top" indent="1" wrapText="false"/>
    </xf>
    <xf numFmtId="165" fontId="35" fillId="6" borderId="6" xfId="0" applyFill="true" applyFont="true" applyBorder="true" applyNumberFormat="true">
      <alignment horizontal="right" vertical="top" indent="1" wrapText="false"/>
    </xf>
    <xf numFmtId="165" fontId="36" fillId="6" borderId="6" xfId="0" applyFill="true" applyFont="true" applyBorder="true" applyNumberFormat="true">
      <alignment horizontal="right" vertical="top" indent="1" wrapText="false"/>
    </xf>
    <xf numFmtId="165" fontId="37" fillId="6" borderId="6" xfId="0" applyFill="true" applyFont="true" applyBorder="true" applyNumberFormat="true">
      <alignment horizontal="right" vertical="top" indent="1" wrapText="false"/>
    </xf>
    <xf numFmtId="0" fontId="38" fillId="6" borderId="6" xfId="0" applyFill="true" applyFont="true" applyBorder="true">
      <alignment horizontal="right" vertical="top" indent="1" wrapText="false"/>
    </xf>
    <xf numFmtId="0" fontId="39" fillId="6" borderId="6" xfId="0" applyFill="true" applyFont="true" applyBorder="true">
      <alignment horizontal="left" vertical="top" indent="1" wrapText="false"/>
    </xf>
    <xf numFmtId="0" fontId="40" fillId="6" borderId="6" xfId="0" applyFill="true" applyFont="true" applyBorder="true">
      <alignment horizontal="left" vertical="top" indent="1" wrapText="false"/>
    </xf>
    <xf numFmtId="0" fontId="41" fillId="6" borderId="6" xfId="0" applyFill="true" applyFont="true" applyBorder="true">
      <alignment horizontal="left" vertical="top" indent="1" wrapText="false"/>
    </xf>
    <xf numFmtId="0" fontId="42" fillId="6" borderId="6" xfId="0" applyFill="true" applyFont="true" applyBorder="true">
      <alignment horizontal="left" vertical="top" indent="1" wrapText="false"/>
    </xf>
    <xf numFmtId="0" fontId="43" fillId="6" borderId="6" xfId="0" applyFill="true" applyFont="true" applyBorder="true">
      <alignment horizontal="left" vertical="top" indent="1" wrapText="false"/>
    </xf>
    <xf numFmtId="0" fontId="44" fillId="6" borderId="6" xfId="0" applyFill="true" applyFont="true" applyBorder="true">
      <alignment horizontal="left" vertical="top" indent="1" wrapText="false"/>
    </xf>
    <xf numFmtId="0" fontId="45" fillId="6" borderId="6" xfId="0" applyFill="true" applyFont="true" applyBorder="true">
      <alignment horizontal="left" vertical="top" indent="1" wrapText="false"/>
    </xf>
    <xf numFmtId="0" fontId="46" fillId="6" borderId="6" xfId="0" applyFill="true" applyFont="true" applyBorder="true">
      <alignment horizontal="left" vertical="top" indent="1" wrapText="false"/>
    </xf>
    <xf numFmtId="0" fontId="47" fillId="6" borderId="6" xfId="0" applyFill="true" applyFont="true" applyBorder="true">
      <alignment horizontal="left" vertical="top" indent="1" wrapText="false"/>
    </xf>
    <xf numFmtId="0" fontId="48" fillId="6" borderId="6" xfId="0" applyFill="true" applyFont="true" applyBorder="true">
      <alignment horizontal="left" vertical="top" indent="1" wrapText="false"/>
    </xf>
    <xf numFmtId="0" fontId="49" fillId="6" borderId="6" xfId="0" applyFill="true" applyFont="true" applyBorder="true">
      <alignment horizontal="right" vertical="top" indent="1" wrapText="false"/>
    </xf>
    <xf numFmtId="0" fontId="50" fillId="6" borderId="6" xfId="0" applyFill="true" applyFont="true" applyBorder="true">
      <alignment horizontal="left" vertical="top" indent="1" wrapText="false"/>
    </xf>
    <xf numFmtId="0" fontId="51" fillId="6" borderId="6" xfId="0" applyFill="true" applyFont="true" applyBorder="true">
      <alignment horizontal="right" vertical="top" indent="1" wrapText="false"/>
    </xf>
    <xf numFmtId="0" fontId="52" fillId="6" borderId="6" xfId="0" applyFill="true" applyFont="true" applyBorder="true">
      <alignment horizontal="right" vertical="top" indent="1" wrapText="false"/>
    </xf>
    <xf numFmtId="0" fontId="53" fillId="6" borderId="6" xfId="0" applyFill="true" applyFont="true" applyBorder="true">
      <alignment horizontal="left" vertical="top" indent="1" wrapText="false"/>
    </xf>
    <xf numFmtId="0" fontId="54" fillId="6" borderId="6" xfId="0" applyFill="true" applyFont="true" applyBorder="true">
      <alignment horizontal="left" vertical="top" indent="1" wrapText="false"/>
    </xf>
    <xf numFmtId="0" fontId="55" fillId="6" borderId="6" xfId="0" applyFill="true" applyFont="true" applyBorder="true">
      <alignment horizontal="left" vertical="top" indent="1" wrapText="false"/>
    </xf>
    <xf numFmtId="0" fontId="56" fillId="6" borderId="6" xfId="0" applyFill="true" applyFont="true" applyBorder="true">
      <alignment horizontal="left" vertical="top" indent="1" wrapText="false"/>
    </xf>
    <xf numFmtId="0" fontId="57" fillId="6" borderId="6" xfId="0" applyFill="true" applyFont="true" applyBorder="true">
      <alignment horizontal="left" vertical="top" indent="1" wrapText="false"/>
    </xf>
    <xf numFmtId="0" fontId="58" fillId="6" borderId="6" xfId="0" applyFill="true" applyFont="true" applyBorder="true">
      <alignment horizontal="right" vertical="top" indent="1" wrapText="false"/>
    </xf>
    <xf numFmtId="0" fontId="59" fillId="6" borderId="6" xfId="0" applyFill="true" applyFont="true" applyBorder="true">
      <alignment horizontal="left" vertical="top" indent="1" wrapText="false"/>
    </xf>
    <xf numFmtId="0" fontId="60" fillId="6" borderId="6" xfId="0" applyFill="true" applyFont="true" applyBorder="true">
      <alignment horizontal="left" vertical="top" indent="1" wrapText="false"/>
    </xf>
    <xf numFmtId="0" fontId="61" fillId="6" borderId="6" xfId="0" applyFill="true" applyFont="true" applyBorder="true">
      <alignment horizontal="left" vertical="top" indent="1" wrapText="false"/>
    </xf>
    <xf numFmtId="0" fontId="62" fillId="6" borderId="6" xfId="0" applyFill="true" applyFont="true" applyBorder="true">
      <alignment horizontal="left" vertical="top" indent="1" wrapText="false"/>
    </xf>
    <xf numFmtId="0" fontId="63" fillId="6" borderId="6" xfId="0" applyFill="true" applyFont="true" applyBorder="true">
      <alignment horizontal="left" vertical="top" indent="1" wrapText="false"/>
    </xf>
    <xf numFmtId="0" fontId="64" fillId="6" borderId="6" xfId="0" applyFill="true" applyFont="true" applyBorder="true">
      <alignment horizontal="left" vertical="top" indent="1" wrapText="false"/>
    </xf>
    <xf numFmtId="0" fontId="65" fillId="6" borderId="6" xfId="0" applyFill="true" applyFont="true" applyBorder="true">
      <alignment horizontal="left" vertical="top" indent="1" wrapText="false"/>
    </xf>
    <xf numFmtId="0" fontId="66" fillId="6" borderId="6" xfId="0" applyFill="true" applyFont="true" applyBorder="true">
      <alignment horizontal="left" vertical="top" indent="1" wrapText="false"/>
    </xf>
    <xf numFmtId="168" fontId="67" fillId="6" borderId="6" xfId="0" applyFill="true" applyFont="true" applyBorder="true" applyNumberFormat="true">
      <alignment horizontal="right" vertical="top" indent="1" wrapText="false"/>
    </xf>
    <xf numFmtId="165" fontId="68" fillId="6" borderId="6" xfId="0" applyFill="true" applyFont="true" applyBorder="true" applyNumberFormat="true">
      <alignment horizontal="right" vertical="top" indent="1" wrapText="false"/>
    </xf>
    <xf numFmtId="0" fontId="69" fillId="6" borderId="6" xfId="0" applyFill="true" applyFont="true" applyBorder="true">
      <alignment horizontal="left" vertical="top" indent="1" wrapText="false"/>
    </xf>
    <xf numFmtId="165" fontId="70" fillId="6" borderId="6" xfId="0" applyFill="true" applyFont="true" applyBorder="true" applyNumberFormat="true">
      <alignment horizontal="right" vertical="top" indent="1" wrapText="false"/>
    </xf>
    <xf numFmtId="0" fontId="71" fillId="6" borderId="6" xfId="0" applyFill="true" applyFont="true" applyBorder="true">
      <alignment horizontal="left" vertical="top" indent="1" wrapText="false"/>
    </xf>
    <xf numFmtId="0" fontId="72" fillId="6" borderId="6" xfId="0" applyFill="true" applyFont="true" applyBorder="true">
      <alignment horizontal="left" vertical="top" indent="1" wrapText="false"/>
    </xf>
    <xf numFmtId="0" fontId="73" fillId="6" borderId="6" xfId="0" applyFill="true" applyFont="true" applyBorder="true">
      <alignment horizontal="left" vertical="top" indent="1" wrapText="false"/>
    </xf>
    <xf numFmtId="0" fontId="74" fillId="6" borderId="6" xfId="0" applyFill="true" applyFont="true" applyBorder="true">
      <alignment horizontal="left" vertical="top" indent="1" wrapText="false"/>
    </xf>
    <xf numFmtId="0" fontId="75" fillId="6" borderId="6" xfId="0" applyFill="true" applyFont="true" applyBorder="true">
      <alignment horizontal="left" vertical="top" indent="1" wrapText="false"/>
    </xf>
    <xf numFmtId="0" fontId="76" fillId="6" borderId="6" xfId="0" applyFill="true" applyFont="true" applyBorder="true">
      <alignment horizontal="left" vertical="top" indent="1" wrapText="false"/>
    </xf>
    <xf numFmtId="0" fontId="77" fillId="6" borderId="6" xfId="0" applyFill="true" applyFont="true" applyBorder="true">
      <alignment horizontal="left" vertical="top" indent="1" wrapText="false"/>
    </xf>
    <xf numFmtId="0" fontId="78" fillId="6" borderId="6" xfId="0" applyFill="true" applyFont="true" applyBorder="true">
      <alignment horizontal="left" vertical="top" indent="1" wrapText="false"/>
    </xf>
    <xf numFmtId="0" fontId="79" fillId="6" borderId="6" xfId="0" applyFill="true" applyFont="true" applyBorder="true">
      <alignment horizontal="left" vertical="top" indent="1" wrapText="false"/>
    </xf>
    <xf numFmtId="168" fontId="80" fillId="6" borderId="6" xfId="0" applyFill="true" applyFont="true" applyBorder="true" applyNumberFormat="true">
      <alignment horizontal="right" vertical="top" indent="1" wrapText="false"/>
    </xf>
    <xf numFmtId="165" fontId="81" fillId="6" borderId="6" xfId="0" applyFill="true" applyFont="true" applyBorder="true" applyNumberFormat="true">
      <alignment horizontal="right" vertical="top" indent="1" wrapText="false"/>
    </xf>
    <xf numFmtId="0" fontId="82" fillId="6" borderId="6" xfId="0" applyFill="true" applyFont="true" applyBorder="true">
      <alignment horizontal="left" vertical="top" indent="1" wrapText="false"/>
    </xf>
    <xf numFmtId="165" fontId="83" fillId="6" borderId="6" xfId="0" applyFill="true" applyFont="true" applyBorder="true" applyNumberFormat="true">
      <alignment horizontal="right" vertical="top" indent="1" wrapText="false"/>
    </xf>
    <xf numFmtId="0" fontId="84" fillId="6" borderId="6" xfId="0" applyFill="true" applyFont="true" applyBorder="true">
      <alignment horizontal="left" vertical="top" indent="1" wrapText="false"/>
    </xf>
    <xf numFmtId="0" fontId="85" fillId="6" borderId="6" xfId="0" applyFill="true" applyFont="true" applyBorder="true">
      <alignment horizontal="left" vertical="top" indent="1" wrapText="false"/>
    </xf>
    <xf numFmtId="0" fontId="86" fillId="6" borderId="6" xfId="0" applyFill="true" applyFont="true" applyBorder="true">
      <alignment horizontal="left" vertical="top" indent="1" wrapText="false"/>
    </xf>
    <xf numFmtId="0" fontId="87" fillId="6" borderId="6" xfId="0" applyFill="true" applyFont="true" applyBorder="true">
      <alignment horizontal="left" vertical="top" indent="1" wrapText="false"/>
    </xf>
    <xf numFmtId="0" fontId="88" fillId="6" borderId="6" xfId="0" applyFill="true" applyFont="true" applyBorder="true">
      <alignment horizontal="left" vertical="top" indent="1" wrapText="false"/>
    </xf>
    <xf numFmtId="0" fontId="89" fillId="6" borderId="6" xfId="0" applyFill="true" applyFont="true" applyBorder="true">
      <alignment horizontal="left" vertical="top" indent="1" wrapText="false"/>
    </xf>
    <xf numFmtId="0" fontId="90" fillId="6" borderId="6" xfId="0" applyFill="true" applyFont="true" applyBorder="true">
      <alignment horizontal="left" vertical="top" indent="1" wrapText="false"/>
    </xf>
    <xf numFmtId="0" fontId="91" fillId="6" borderId="6" xfId="0" applyFill="true" applyFont="true" applyBorder="true">
      <alignment horizontal="left" vertical="top" indent="1" wrapText="false"/>
    </xf>
    <xf numFmtId="0" fontId="92" fillId="6" borderId="6" xfId="0" applyFill="true" applyFont="true" applyBorder="true">
      <alignment horizontal="left" vertical="top" indent="1" wrapText="false"/>
    </xf>
    <xf numFmtId="169" fontId="93" fillId="6" borderId="6" xfId="0" applyFill="true" applyFont="true" applyBorder="true" applyNumberFormat="true">
      <alignment horizontal="right" vertical="top" indent="1" wrapText="false"/>
    </xf>
    <xf numFmtId="170" fontId="94" fillId="6" borderId="6" xfId="0" applyFill="true" applyFont="true" applyBorder="true" applyNumberFormat="true">
      <alignment horizontal="right" vertical="top" indent="1" wrapText="false"/>
    </xf>
    <xf numFmtId="169" fontId="95" fillId="6" borderId="6" xfId="0" applyFill="true" applyFont="true" applyBorder="true" applyNumberFormat="true">
      <alignment horizontal="right" vertical="top" indent="1" wrapText="false"/>
    </xf>
    <xf numFmtId="169" fontId="96" fillId="6" borderId="6" xfId="0" applyFill="true" applyFont="true" applyBorder="true" applyNumberFormat="true">
      <alignment horizontal="right" vertical="top" indent="1" wrapText="false"/>
    </xf>
    <xf numFmtId="169" fontId="97" fillId="6" borderId="6" xfId="0" applyFill="true" applyFont="true" applyBorder="true" applyNumberFormat="true">
      <alignment horizontal="right" vertical="top" indent="1" wrapText="false"/>
    </xf>
    <xf numFmtId="170" fontId="98" fillId="6" borderId="6" xfId="0" applyFill="true" applyFont="true" applyBorder="true" applyNumberFormat="true">
      <alignment horizontal="right" vertical="top" indent="1" wrapText="false"/>
    </xf>
    <xf numFmtId="169" fontId="99" fillId="6" borderId="6" xfId="0" applyFill="true" applyFont="true" applyBorder="true" applyNumberFormat="true">
      <alignment horizontal="right" vertical="top" indent="1" wrapText="false"/>
    </xf>
    <xf numFmtId="170" fontId="100" fillId="6" borderId="6" xfId="0" applyFill="true" applyFont="true" applyBorder="true" applyNumberFormat="true">
      <alignment horizontal="right" vertical="top" indent="1" wrapText="false"/>
    </xf>
    <xf numFmtId="169" fontId="101" fillId="6" borderId="6" xfId="0" applyFill="true" applyFont="true" applyBorder="true" applyNumberFormat="true">
      <alignment horizontal="right" vertical="top" indent="1" wrapText="false"/>
    </xf>
    <xf numFmtId="170" fontId="102" fillId="6" borderId="6" xfId="0" applyFill="true" applyFont="true" applyBorder="true" applyNumberFormat="true">
      <alignment horizontal="right" vertical="top" indent="1" wrapText="false"/>
    </xf>
    <xf numFmtId="169" fontId="103" fillId="6" borderId="6" xfId="0" applyFill="true" applyFont="true" applyBorder="true" applyNumberFormat="true">
      <alignment horizontal="right" vertical="top" indent="1" wrapText="false"/>
    </xf>
    <xf numFmtId="170" fontId="104" fillId="6" borderId="6" xfId="0" applyFill="true" applyFont="true" applyBorder="true" applyNumberFormat="true">
      <alignment horizontal="right" vertical="top" indent="1" wrapText="false"/>
    </xf>
    <xf numFmtId="169" fontId="105" fillId="6" borderId="6" xfId="0" applyFill="true" applyFont="true" applyBorder="true" applyNumberFormat="true">
      <alignment horizontal="right" vertical="top" indent="1" wrapText="false"/>
    </xf>
    <xf numFmtId="170" fontId="106" fillId="6" borderId="6" xfId="0" applyFill="true" applyFont="true" applyBorder="true" applyNumberFormat="true">
      <alignment horizontal="right" vertical="top" indent="1" wrapText="false"/>
    </xf>
    <xf numFmtId="169" fontId="107" fillId="6" borderId="6" xfId="0" applyFill="true" applyFont="true" applyBorder="true" applyNumberFormat="true">
      <alignment horizontal="right" vertical="top" indent="1" wrapText="false"/>
    </xf>
    <xf numFmtId="170" fontId="108" fillId="6" borderId="6" xfId="0" applyFill="true" applyFont="true" applyBorder="true" applyNumberFormat="true">
      <alignment horizontal="right" vertical="top" indent="1" wrapText="false"/>
    </xf>
    <xf numFmtId="171" fontId="109" fillId="6" borderId="6" xfId="0" applyFill="true" applyFont="true" applyBorder="true" applyNumberFormat="true">
      <alignment horizontal="right" vertical="top" indent="1" wrapText="false"/>
    </xf>
    <xf numFmtId="170" fontId="110" fillId="6" borderId="6" xfId="0" applyFill="true" applyFont="true" applyBorder="true" applyNumberFormat="true">
      <alignment horizontal="right" vertical="top" indent="1" wrapText="false"/>
    </xf>
    <xf numFmtId="171" fontId="111" fillId="6" borderId="6" xfId="0" applyFill="true" applyFont="true" applyBorder="true" applyNumberFormat="true">
      <alignment horizontal="right" vertical="top" indent="1" wrapText="false"/>
    </xf>
    <xf numFmtId="169" fontId="112" fillId="6" borderId="6" xfId="0" applyFill="true" applyFont="true" applyBorder="true" applyNumberFormat="true">
      <alignment horizontal="right" vertical="top" indent="1" wrapText="false"/>
    </xf>
    <xf numFmtId="171" fontId="113" fillId="6" borderId="6" xfId="0" applyFill="true" applyFont="true" applyBorder="true" applyNumberFormat="true">
      <alignment horizontal="right" vertical="top" indent="1" wrapText="false"/>
    </xf>
    <xf numFmtId="170" fontId="114" fillId="6" borderId="6" xfId="0" applyFill="true" applyFont="true" applyBorder="true" applyNumberFormat="true">
      <alignment horizontal="right" vertical="top" indent="1" wrapText="false"/>
    </xf>
    <xf numFmtId="171" fontId="115" fillId="6" borderId="6" xfId="0" applyFill="true" applyFont="true" applyBorder="true" applyNumberFormat="true">
      <alignment horizontal="right" vertical="top" indent="1" wrapText="false"/>
    </xf>
    <xf numFmtId="170" fontId="116" fillId="6" borderId="6" xfId="0" applyFill="true" applyFont="true" applyBorder="true" applyNumberFormat="true">
      <alignment horizontal="right" vertical="top" indent="1" wrapText="false"/>
    </xf>
    <xf numFmtId="171" fontId="117" fillId="6" borderId="6" xfId="0" applyFill="true" applyFont="true" applyBorder="true" applyNumberFormat="true">
      <alignment horizontal="right" vertical="top" indent="1" wrapText="false"/>
    </xf>
    <xf numFmtId="170" fontId="118" fillId="6" borderId="6" xfId="0" applyFill="true" applyFont="true" applyBorder="true" applyNumberFormat="true">
      <alignment horizontal="right" vertical="top" indent="1" wrapText="false"/>
    </xf>
    <xf numFmtId="171" fontId="119" fillId="6" borderId="6" xfId="0" applyFill="true" applyFont="true" applyBorder="true" applyNumberFormat="true">
      <alignment horizontal="right" vertical="top" indent="1" wrapText="false"/>
    </xf>
    <xf numFmtId="170" fontId="120" fillId="6" borderId="6" xfId="0" applyFill="true" applyFont="true" applyBorder="true" applyNumberFormat="true">
      <alignment horizontal="right" vertical="top" indent="1" wrapText="false"/>
    </xf>
    <xf numFmtId="171" fontId="121" fillId="6" borderId="6" xfId="0" applyFill="true" applyFont="true" applyBorder="true" applyNumberFormat="true">
      <alignment horizontal="right" vertical="top" indent="1" wrapText="false"/>
    </xf>
    <xf numFmtId="170" fontId="122" fillId="6" borderId="6" xfId="0" applyFill="true" applyFont="true" applyBorder="true" applyNumberFormat="true">
      <alignment horizontal="right" vertical="top" indent="1" wrapText="false"/>
    </xf>
    <xf numFmtId="171" fontId="123" fillId="6" borderId="6" xfId="0" applyFill="true" applyFont="true" applyBorder="true" applyNumberFormat="true">
      <alignment horizontal="right" vertical="top" indent="1" wrapText="false"/>
    </xf>
    <xf numFmtId="170" fontId="124" fillId="6" borderId="6" xfId="0" applyFill="true" applyFont="true" applyBorder="true" applyNumberFormat="true">
      <alignment horizontal="right" vertical="top" indent="1" wrapText="false"/>
    </xf>
    <xf numFmtId="170" fontId="125" fillId="6" borderId="6" xfId="0" applyFill="true" applyFont="true" applyBorder="true" applyNumberFormat="true">
      <alignment horizontal="right" vertical="top" indent="1" wrapText="false"/>
    </xf>
    <xf numFmtId="170" fontId="126" fillId="6" borderId="6" xfId="0" applyFill="true" applyFont="true" applyBorder="true" applyNumberFormat="true">
      <alignment horizontal="right" vertical="top" indent="1" wrapText="false"/>
    </xf>
    <xf numFmtId="169" fontId="127" fillId="6" borderId="6" xfId="0" applyFill="true" applyFont="true" applyBorder="true" applyNumberFormat="true">
      <alignment horizontal="right" vertical="top" indent="1" wrapText="false"/>
    </xf>
    <xf numFmtId="170" fontId="128" fillId="6" borderId="6" xfId="0" applyFill="true" applyFont="true" applyBorder="true" applyNumberFormat="true">
      <alignment horizontal="right" vertical="top" indent="1" wrapText="false"/>
    </xf>
    <xf numFmtId="170" fontId="129" fillId="6" borderId="6" xfId="0" applyFill="true" applyFont="true" applyBorder="true" applyNumberFormat="true">
      <alignment horizontal="right" vertical="top" indent="1" wrapText="false"/>
    </xf>
    <xf numFmtId="169" fontId="130" fillId="6" borderId="6" xfId="0" applyFill="true" applyFont="true" applyBorder="true" applyNumberFormat="true">
      <alignment horizontal="right" vertical="top" indent="1" wrapText="false"/>
    </xf>
    <xf numFmtId="170" fontId="131" fillId="6" borderId="6" xfId="0" applyFill="true" applyFont="true" applyBorder="true" applyNumberFormat="true">
      <alignment horizontal="right" vertical="top" indent="1" wrapText="false"/>
    </xf>
    <xf numFmtId="170" fontId="132" fillId="6" borderId="6" xfId="0" applyFill="true" applyFont="true" applyBorder="true" applyNumberFormat="true">
      <alignment horizontal="right" vertical="top" indent="1" wrapText="false"/>
    </xf>
    <xf numFmtId="169" fontId="133" fillId="6" borderId="6" xfId="0" applyFill="true" applyFont="true" applyBorder="true" applyNumberFormat="true">
      <alignment horizontal="right" vertical="top" indent="1" wrapText="false"/>
    </xf>
    <xf numFmtId="170" fontId="134" fillId="6" borderId="6" xfId="0" applyFill="true" applyFont="true" applyBorder="true" applyNumberFormat="true">
      <alignment horizontal="right" vertical="top" indent="1" wrapText="false"/>
    </xf>
    <xf numFmtId="170" fontId="135" fillId="6" borderId="6" xfId="0" applyFill="true" applyFont="true" applyBorder="true" applyNumberFormat="true">
      <alignment horizontal="right" vertical="top" indent="1" wrapText="false"/>
    </xf>
    <xf numFmtId="169" fontId="136" fillId="6" borderId="6" xfId="0" applyFill="true" applyFont="true" applyBorder="true" applyNumberFormat="true">
      <alignment horizontal="right" vertical="top" indent="1" wrapText="false"/>
    </xf>
    <xf numFmtId="0" fontId="137" fillId="6" borderId="6" xfId="0" applyFill="true" applyFont="true" applyBorder="true">
      <alignment horizontal="right" vertical="top" indent="1" wrapText="false"/>
    </xf>
    <xf numFmtId="0" fontId="138" fillId="6" borderId="6" xfId="0" applyFill="true" applyFont="true" applyBorder="true">
      <alignment horizontal="general" vertical="top" indent="1" wrapText="false"/>
    </xf>
    <xf numFmtId="0" fontId="139" fillId="8" borderId="6" xfId="0" applyFill="true" applyFont="true" applyBorder="true">
      <alignment horizontal="general" vertical="top" indent="1" wrapText="false"/>
    </xf>
    <xf numFmtId="0" fontId="140" fillId="8" borderId="6" xfId="0" applyFill="true" applyFont="true" applyBorder="true">
      <alignment horizontal="left" vertical="top" indent="1" wrapText="false"/>
    </xf>
    <xf numFmtId="0" fontId="141" fillId="8" borderId="6" xfId="0" applyFill="true" applyFont="true" applyBorder="true">
      <alignment horizontal="left" vertical="top" indent="1" wrapText="false"/>
    </xf>
    <xf numFmtId="0" fontId="142" fillId="8" borderId="6" xfId="0" applyFill="true" applyFont="true" applyBorder="true">
      <alignment horizontal="left" vertical="top" indent="1" wrapText="false"/>
    </xf>
    <xf numFmtId="0" fontId="143" fillId="8" borderId="6" xfId="0" applyFill="true" applyFont="true" applyBorder="true">
      <alignment horizontal="left" vertical="top" indent="1" wrapText="false"/>
    </xf>
    <xf numFmtId="0" fontId="144" fillId="8" borderId="6" xfId="0" applyFill="true" applyFont="true" applyBorder="true">
      <alignment horizontal="left" vertical="top" indent="1" wrapText="false"/>
    </xf>
    <xf numFmtId="0" fontId="145" fillId="8" borderId="6" xfId="0" applyFill="true" applyFont="true" applyBorder="true">
      <alignment horizontal="left" vertical="top" indent="1" wrapText="false"/>
    </xf>
    <xf numFmtId="0" fontId="146" fillId="8" borderId="6" xfId="0" applyFill="true" applyFont="true" applyBorder="true">
      <alignment horizontal="left" vertical="top" indent="1" wrapText="false"/>
    </xf>
    <xf numFmtId="0" fontId="147" fillId="8" borderId="6" xfId="0" applyFill="true" applyFont="true" applyBorder="true">
      <alignment horizontal="left" vertical="top" indent="1" wrapText="false"/>
    </xf>
    <xf numFmtId="0" fontId="148" fillId="8" borderId="6" xfId="0" applyFill="true" applyFont="true" applyBorder="true">
      <alignment horizontal="left" vertical="top" indent="1" wrapText="false"/>
    </xf>
    <xf numFmtId="0" fontId="149" fillId="8" borderId="6" xfId="0" applyFill="true" applyFont="true" applyBorder="true">
      <alignment horizontal="left" vertical="top" indent="1" wrapText="false"/>
    </xf>
    <xf numFmtId="0" fontId="150" fillId="8" borderId="6" xfId="0" applyFill="true" applyFont="true" applyBorder="true">
      <alignment horizontal="left" vertical="top" indent="1" wrapText="false"/>
    </xf>
    <xf numFmtId="165" fontId="151" fillId="8" borderId="6" xfId="0" applyFill="true" applyFont="true" applyBorder="true" applyNumberFormat="true">
      <alignment horizontal="right" vertical="top" indent="1" wrapText="false"/>
    </xf>
    <xf numFmtId="0" fontId="152" fillId="8" borderId="6" xfId="0" applyFill="true" applyFont="true" applyBorder="true">
      <alignment horizontal="left" vertical="top" indent="1" wrapText="false"/>
    </xf>
    <xf numFmtId="0" fontId="153" fillId="8" borderId="6" xfId="0" applyFill="true" applyFont="true" applyBorder="true">
      <alignment horizontal="left" vertical="top" indent="1" wrapText="false"/>
    </xf>
    <xf numFmtId="0" fontId="154" fillId="8" borderId="6" xfId="0" applyFill="true" applyFont="true" applyBorder="true">
      <alignment horizontal="left" vertical="top" indent="1" wrapText="false"/>
    </xf>
    <xf numFmtId="0" fontId="155" fillId="8" borderId="6" xfId="0" applyFill="true" applyFont="true" applyBorder="true">
      <alignment horizontal="left" vertical="top" indent="1" wrapText="false"/>
    </xf>
    <xf numFmtId="166" fontId="156" fillId="8" borderId="6" xfId="0" applyFill="true" applyFont="true" applyBorder="true" applyNumberFormat="true">
      <alignment horizontal="right" vertical="top" indent="1" wrapText="false"/>
    </xf>
    <xf numFmtId="0" fontId="157" fillId="8" borderId="6" xfId="0" applyFill="true" applyFont="true" applyBorder="true">
      <alignment horizontal="left" vertical="top" indent="1" wrapText="false"/>
    </xf>
    <xf numFmtId="0" fontId="158" fillId="8" borderId="6" xfId="0" applyFill="true" applyFont="true" applyBorder="true">
      <alignment horizontal="left" vertical="top" indent="1" wrapText="false"/>
    </xf>
    <xf numFmtId="167" fontId="159" fillId="8" borderId="6" xfId="0" applyFill="true" applyFont="true" applyBorder="true" applyNumberFormat="true">
      <alignment horizontal="right" vertical="top" indent="1" wrapText="false"/>
    </xf>
    <xf numFmtId="0" fontId="160" fillId="8" borderId="6" xfId="0" applyFill="true" applyFont="true" applyBorder="true">
      <alignment horizontal="left" vertical="top" indent="1" wrapText="false"/>
    </xf>
    <xf numFmtId="0" fontId="161" fillId="8" borderId="6" xfId="0" applyFill="true" applyFont="true" applyBorder="true">
      <alignment horizontal="left" vertical="top" indent="1" wrapText="true"/>
    </xf>
    <xf numFmtId="0" fontId="162" fillId="8" borderId="6" xfId="0" applyFill="true" applyFont="true" applyBorder="true">
      <alignment horizontal="left" vertical="top" indent="1" wrapText="true"/>
    </xf>
    <xf numFmtId="165" fontId="163" fillId="8" borderId="6" xfId="0" applyFill="true" applyFont="true" applyBorder="true" applyNumberFormat="true">
      <alignment horizontal="right" vertical="top" indent="1" wrapText="false"/>
    </xf>
    <xf numFmtId="165" fontId="164" fillId="8" borderId="6" xfId="0" applyFill="true" applyFont="true" applyBorder="true" applyNumberFormat="true">
      <alignment horizontal="right" vertical="top" indent="1" wrapText="false"/>
    </xf>
    <xf numFmtId="165" fontId="165" fillId="8" borderId="6" xfId="0" applyFill="true" applyFont="true" applyBorder="true" applyNumberFormat="true">
      <alignment horizontal="right" vertical="top" indent="1" wrapText="false"/>
    </xf>
    <xf numFmtId="165" fontId="166" fillId="8" borderId="6" xfId="0" applyFill="true" applyFont="true" applyBorder="true" applyNumberFormat="true">
      <alignment horizontal="right" vertical="top" indent="1" wrapText="false"/>
    </xf>
    <xf numFmtId="165" fontId="167" fillId="8" borderId="6" xfId="0" applyFill="true" applyFont="true" applyBorder="true" applyNumberFormat="true">
      <alignment horizontal="right" vertical="top" indent="1" wrapText="false"/>
    </xf>
    <xf numFmtId="0" fontId="168" fillId="8" borderId="6" xfId="0" applyFill="true" applyFont="true" applyBorder="true">
      <alignment horizontal="right" vertical="top" indent="1" wrapText="false"/>
    </xf>
    <xf numFmtId="0" fontId="169" fillId="8" borderId="6" xfId="0" applyFill="true" applyFont="true" applyBorder="true">
      <alignment horizontal="left" vertical="top" indent="1" wrapText="false"/>
    </xf>
    <xf numFmtId="0" fontId="170" fillId="8" borderId="6" xfId="0" applyFill="true" applyFont="true" applyBorder="true">
      <alignment horizontal="left" vertical="top" indent="1" wrapText="false"/>
    </xf>
    <xf numFmtId="0" fontId="171" fillId="8" borderId="6" xfId="0" applyFill="true" applyFont="true" applyBorder="true">
      <alignment horizontal="left" vertical="top" indent="1" wrapText="false"/>
    </xf>
    <xf numFmtId="0" fontId="172" fillId="8" borderId="6" xfId="0" applyFill="true" applyFont="true" applyBorder="true">
      <alignment horizontal="left" vertical="top" indent="1" wrapText="false"/>
    </xf>
    <xf numFmtId="0" fontId="173" fillId="8" borderId="6" xfId="0" applyFill="true" applyFont="true" applyBorder="true">
      <alignment horizontal="left" vertical="top" indent="1" wrapText="false"/>
    </xf>
    <xf numFmtId="0" fontId="174" fillId="8" borderId="6" xfId="0" applyFill="true" applyFont="true" applyBorder="true">
      <alignment horizontal="left" vertical="top" indent="1" wrapText="false"/>
    </xf>
    <xf numFmtId="0" fontId="175" fillId="8" borderId="6" xfId="0" applyFill="true" applyFont="true" applyBorder="true">
      <alignment horizontal="left" vertical="top" indent="1" wrapText="false"/>
    </xf>
    <xf numFmtId="0" fontId="176" fillId="8" borderId="6" xfId="0" applyFill="true" applyFont="true" applyBorder="true">
      <alignment horizontal="left" vertical="top" indent="1" wrapText="false"/>
    </xf>
    <xf numFmtId="0" fontId="177" fillId="8" borderId="6" xfId="0" applyFill="true" applyFont="true" applyBorder="true">
      <alignment horizontal="left" vertical="top" indent="1" wrapText="false"/>
    </xf>
    <xf numFmtId="0" fontId="178" fillId="8" borderId="6" xfId="0" applyFill="true" applyFont="true" applyBorder="true">
      <alignment horizontal="left" vertical="top" indent="1" wrapText="false"/>
    </xf>
    <xf numFmtId="0" fontId="179" fillId="8" borderId="6" xfId="0" applyFill="true" applyFont="true" applyBorder="true">
      <alignment horizontal="right" vertical="top" indent="1" wrapText="false"/>
    </xf>
    <xf numFmtId="0" fontId="180" fillId="8" borderId="6" xfId="0" applyFill="true" applyFont="true" applyBorder="true">
      <alignment horizontal="left" vertical="top" indent="1" wrapText="false"/>
    </xf>
    <xf numFmtId="0" fontId="181" fillId="8" borderId="6" xfId="0" applyFill="true" applyFont="true" applyBorder="true">
      <alignment horizontal="right" vertical="top" indent="1" wrapText="false"/>
    </xf>
    <xf numFmtId="0" fontId="182" fillId="8" borderId="6" xfId="0" applyFill="true" applyFont="true" applyBorder="true">
      <alignment horizontal="right" vertical="top" indent="1" wrapText="false"/>
    </xf>
    <xf numFmtId="0" fontId="183" fillId="8" borderId="6" xfId="0" applyFill="true" applyFont="true" applyBorder="true">
      <alignment horizontal="left" vertical="top" indent="1" wrapText="false"/>
    </xf>
    <xf numFmtId="0" fontId="184" fillId="8" borderId="6" xfId="0" applyFill="true" applyFont="true" applyBorder="true">
      <alignment horizontal="left" vertical="top" indent="1" wrapText="false"/>
    </xf>
    <xf numFmtId="0" fontId="185" fillId="8" borderId="6" xfId="0" applyFill="true" applyFont="true" applyBorder="true">
      <alignment horizontal="left" vertical="top" indent="1" wrapText="false"/>
    </xf>
    <xf numFmtId="0" fontId="186" fillId="8" borderId="6" xfId="0" applyFill="true" applyFont="true" applyBorder="true">
      <alignment horizontal="left" vertical="top" indent="1" wrapText="false"/>
    </xf>
    <xf numFmtId="0" fontId="187" fillId="8" borderId="6" xfId="0" applyFill="true" applyFont="true" applyBorder="true">
      <alignment horizontal="left" vertical="top" indent="1" wrapText="false"/>
    </xf>
    <xf numFmtId="0" fontId="188" fillId="8" borderId="6" xfId="0" applyFill="true" applyFont="true" applyBorder="true">
      <alignment horizontal="right" vertical="top" indent="1" wrapText="false"/>
    </xf>
    <xf numFmtId="0" fontId="189" fillId="8" borderId="6" xfId="0" applyFill="true" applyFont="true" applyBorder="true">
      <alignment horizontal="left" vertical="top" indent="1" wrapText="false"/>
    </xf>
    <xf numFmtId="0" fontId="190" fillId="8" borderId="6" xfId="0" applyFill="true" applyFont="true" applyBorder="true">
      <alignment horizontal="left" vertical="top" indent="1" wrapText="false"/>
    </xf>
    <xf numFmtId="0" fontId="191" fillId="8" borderId="6" xfId="0" applyFill="true" applyFont="true" applyBorder="true">
      <alignment horizontal="left" vertical="top" indent="1" wrapText="false"/>
    </xf>
    <xf numFmtId="0" fontId="192" fillId="8" borderId="6" xfId="0" applyFill="true" applyFont="true" applyBorder="true">
      <alignment horizontal="left" vertical="top" indent="1" wrapText="false"/>
    </xf>
    <xf numFmtId="0" fontId="193" fillId="8" borderId="6" xfId="0" applyFill="true" applyFont="true" applyBorder="true">
      <alignment horizontal="left" vertical="top" indent="1" wrapText="false"/>
    </xf>
    <xf numFmtId="0" fontId="194" fillId="8" borderId="6" xfId="0" applyFill="true" applyFont="true" applyBorder="true">
      <alignment horizontal="left" vertical="top" indent="1" wrapText="false"/>
    </xf>
    <xf numFmtId="0" fontId="195" fillId="8" borderId="6" xfId="0" applyFill="true" applyFont="true" applyBorder="true">
      <alignment horizontal="left" vertical="top" indent="1" wrapText="false"/>
    </xf>
    <xf numFmtId="0" fontId="196" fillId="8" borderId="6" xfId="0" applyFill="true" applyFont="true" applyBorder="true">
      <alignment horizontal="left" vertical="top" indent="1" wrapText="false"/>
    </xf>
    <xf numFmtId="168" fontId="197" fillId="8" borderId="6" xfId="0" applyFill="true" applyFont="true" applyBorder="true" applyNumberFormat="true">
      <alignment horizontal="right" vertical="top" indent="1" wrapText="false"/>
    </xf>
    <xf numFmtId="165" fontId="198" fillId="8" borderId="6" xfId="0" applyFill="true" applyFont="true" applyBorder="true" applyNumberFormat="true">
      <alignment horizontal="right" vertical="top" indent="1" wrapText="false"/>
    </xf>
    <xf numFmtId="0" fontId="199" fillId="8" borderId="6" xfId="0" applyFill="true" applyFont="true" applyBorder="true">
      <alignment horizontal="left" vertical="top" indent="1" wrapText="false"/>
    </xf>
    <xf numFmtId="165" fontId="200" fillId="8" borderId="6" xfId="0" applyFill="true" applyFont="true" applyBorder="true" applyNumberFormat="true">
      <alignment horizontal="right" vertical="top" indent="1" wrapText="false"/>
    </xf>
    <xf numFmtId="0" fontId="201" fillId="8" borderId="6" xfId="0" applyFill="true" applyFont="true" applyBorder="true">
      <alignment horizontal="left" vertical="top" indent="1" wrapText="false"/>
    </xf>
    <xf numFmtId="0" fontId="202" fillId="8" borderId="6" xfId="0" applyFill="true" applyFont="true" applyBorder="true">
      <alignment horizontal="left" vertical="top" indent="1" wrapText="false"/>
    </xf>
    <xf numFmtId="0" fontId="203" fillId="8" borderId="6" xfId="0" applyFill="true" applyFont="true" applyBorder="true">
      <alignment horizontal="left" vertical="top" indent="1" wrapText="false"/>
    </xf>
    <xf numFmtId="0" fontId="204" fillId="8" borderId="6" xfId="0" applyFill="true" applyFont="true" applyBorder="true">
      <alignment horizontal="left" vertical="top" indent="1" wrapText="false"/>
    </xf>
    <xf numFmtId="0" fontId="205" fillId="8" borderId="6" xfId="0" applyFill="true" applyFont="true" applyBorder="true">
      <alignment horizontal="left" vertical="top" indent="1" wrapText="false"/>
    </xf>
    <xf numFmtId="0" fontId="206" fillId="8" borderId="6" xfId="0" applyFill="true" applyFont="true" applyBorder="true">
      <alignment horizontal="left" vertical="top" indent="1" wrapText="false"/>
    </xf>
    <xf numFmtId="0" fontId="207" fillId="8" borderId="6" xfId="0" applyFill="true" applyFont="true" applyBorder="true">
      <alignment horizontal="left" vertical="top" indent="1" wrapText="false"/>
    </xf>
    <xf numFmtId="0" fontId="208" fillId="8" borderId="6" xfId="0" applyFill="true" applyFont="true" applyBorder="true">
      <alignment horizontal="left" vertical="top" indent="1" wrapText="false"/>
    </xf>
    <xf numFmtId="0" fontId="209" fillId="8" borderId="6" xfId="0" applyFill="true" applyFont="true" applyBorder="true">
      <alignment horizontal="left" vertical="top" indent="1" wrapText="false"/>
    </xf>
    <xf numFmtId="168" fontId="210" fillId="8" borderId="6" xfId="0" applyFill="true" applyFont="true" applyBorder="true" applyNumberFormat="true">
      <alignment horizontal="right" vertical="top" indent="1" wrapText="false"/>
    </xf>
    <xf numFmtId="165" fontId="211" fillId="8" borderId="6" xfId="0" applyFill="true" applyFont="true" applyBorder="true" applyNumberFormat="true">
      <alignment horizontal="right" vertical="top" indent="1" wrapText="false"/>
    </xf>
    <xf numFmtId="0" fontId="212" fillId="8" borderId="6" xfId="0" applyFill="true" applyFont="true" applyBorder="true">
      <alignment horizontal="left" vertical="top" indent="1" wrapText="false"/>
    </xf>
    <xf numFmtId="165" fontId="213" fillId="8" borderId="6" xfId="0" applyFill="true" applyFont="true" applyBorder="true" applyNumberFormat="true">
      <alignment horizontal="right" vertical="top" indent="1" wrapText="false"/>
    </xf>
    <xf numFmtId="0" fontId="214" fillId="8" borderId="6" xfId="0" applyFill="true" applyFont="true" applyBorder="true">
      <alignment horizontal="left" vertical="top" indent="1" wrapText="false"/>
    </xf>
    <xf numFmtId="0" fontId="215" fillId="8" borderId="6" xfId="0" applyFill="true" applyFont="true" applyBorder="true">
      <alignment horizontal="left" vertical="top" indent="1" wrapText="false"/>
    </xf>
    <xf numFmtId="0" fontId="216" fillId="8" borderId="6" xfId="0" applyFill="true" applyFont="true" applyBorder="true">
      <alignment horizontal="left" vertical="top" indent="1" wrapText="false"/>
    </xf>
    <xf numFmtId="0" fontId="217" fillId="8" borderId="6" xfId="0" applyFill="true" applyFont="true" applyBorder="true">
      <alignment horizontal="left" vertical="top" indent="1" wrapText="false"/>
    </xf>
    <xf numFmtId="0" fontId="218" fillId="8" borderId="6" xfId="0" applyFill="true" applyFont="true" applyBorder="true">
      <alignment horizontal="left" vertical="top" indent="1" wrapText="false"/>
    </xf>
    <xf numFmtId="0" fontId="219" fillId="8" borderId="6" xfId="0" applyFill="true" applyFont="true" applyBorder="true">
      <alignment horizontal="left" vertical="top" indent="1" wrapText="false"/>
    </xf>
    <xf numFmtId="0" fontId="220" fillId="8" borderId="6" xfId="0" applyFill="true" applyFont="true" applyBorder="true">
      <alignment horizontal="left" vertical="top" indent="1" wrapText="false"/>
    </xf>
    <xf numFmtId="0" fontId="221" fillId="8" borderId="6" xfId="0" applyFill="true" applyFont="true" applyBorder="true">
      <alignment horizontal="left" vertical="top" indent="1" wrapText="false"/>
    </xf>
    <xf numFmtId="0" fontId="222" fillId="8" borderId="6" xfId="0" applyFill="true" applyFont="true" applyBorder="true">
      <alignment horizontal="left" vertical="top" indent="1" wrapText="false"/>
    </xf>
    <xf numFmtId="169" fontId="223" fillId="8" borderId="6" xfId="0" applyFill="true" applyFont="true" applyBorder="true" applyNumberFormat="true">
      <alignment horizontal="right" vertical="top" indent="1" wrapText="false"/>
    </xf>
    <xf numFmtId="170" fontId="224" fillId="8" borderId="6" xfId="0" applyFill="true" applyFont="true" applyBorder="true" applyNumberFormat="true">
      <alignment horizontal="right" vertical="top" indent="1" wrapText="false"/>
    </xf>
    <xf numFmtId="169" fontId="225" fillId="8" borderId="6" xfId="0" applyFill="true" applyFont="true" applyBorder="true" applyNumberFormat="true">
      <alignment horizontal="right" vertical="top" indent="1" wrapText="false"/>
    </xf>
    <xf numFmtId="169" fontId="226" fillId="8" borderId="6" xfId="0" applyFill="true" applyFont="true" applyBorder="true" applyNumberFormat="true">
      <alignment horizontal="right" vertical="top" indent="1" wrapText="false"/>
    </xf>
    <xf numFmtId="169" fontId="227" fillId="8" borderId="6" xfId="0" applyFill="true" applyFont="true" applyBorder="true" applyNumberFormat="true">
      <alignment horizontal="right" vertical="top" indent="1" wrapText="false"/>
    </xf>
    <xf numFmtId="170" fontId="228" fillId="8" borderId="6" xfId="0" applyFill="true" applyFont="true" applyBorder="true" applyNumberFormat="true">
      <alignment horizontal="right" vertical="top" indent="1" wrapText="false"/>
    </xf>
    <xf numFmtId="169" fontId="229" fillId="8" borderId="6" xfId="0" applyFill="true" applyFont="true" applyBorder="true" applyNumberFormat="true">
      <alignment horizontal="right" vertical="top" indent="1" wrapText="false"/>
    </xf>
    <xf numFmtId="170" fontId="230" fillId="8" borderId="6" xfId="0" applyFill="true" applyFont="true" applyBorder="true" applyNumberFormat="true">
      <alignment horizontal="right" vertical="top" indent="1" wrapText="false"/>
    </xf>
    <xf numFmtId="169" fontId="231" fillId="8" borderId="6" xfId="0" applyFill="true" applyFont="true" applyBorder="true" applyNumberFormat="true">
      <alignment horizontal="right" vertical="top" indent="1" wrapText="false"/>
    </xf>
    <xf numFmtId="170" fontId="232" fillId="8" borderId="6" xfId="0" applyFill="true" applyFont="true" applyBorder="true" applyNumberFormat="true">
      <alignment horizontal="right" vertical="top" indent="1" wrapText="false"/>
    </xf>
    <xf numFmtId="169" fontId="233" fillId="8" borderId="6" xfId="0" applyFill="true" applyFont="true" applyBorder="true" applyNumberFormat="true">
      <alignment horizontal="right" vertical="top" indent="1" wrapText="false"/>
    </xf>
    <xf numFmtId="170" fontId="234" fillId="8" borderId="6" xfId="0" applyFill="true" applyFont="true" applyBorder="true" applyNumberFormat="true">
      <alignment horizontal="right" vertical="top" indent="1" wrapText="false"/>
    </xf>
    <xf numFmtId="169" fontId="235" fillId="8" borderId="6" xfId="0" applyFill="true" applyFont="true" applyBorder="true" applyNumberFormat="true">
      <alignment horizontal="right" vertical="top" indent="1" wrapText="false"/>
    </xf>
    <xf numFmtId="170" fontId="236" fillId="8" borderId="6" xfId="0" applyFill="true" applyFont="true" applyBorder="true" applyNumberFormat="true">
      <alignment horizontal="right" vertical="top" indent="1" wrapText="false"/>
    </xf>
    <xf numFmtId="169" fontId="237" fillId="8" borderId="6" xfId="0" applyFill="true" applyFont="true" applyBorder="true" applyNumberFormat="true">
      <alignment horizontal="right" vertical="top" indent="1" wrapText="false"/>
    </xf>
    <xf numFmtId="170" fontId="238" fillId="8" borderId="6" xfId="0" applyFill="true" applyFont="true" applyBorder="true" applyNumberFormat="true">
      <alignment horizontal="right" vertical="top" indent="1" wrapText="false"/>
    </xf>
    <xf numFmtId="171" fontId="239" fillId="8" borderId="6" xfId="0" applyFill="true" applyFont="true" applyBorder="true" applyNumberFormat="true">
      <alignment horizontal="right" vertical="top" indent="1" wrapText="false"/>
    </xf>
    <xf numFmtId="170" fontId="240" fillId="8" borderId="6" xfId="0" applyFill="true" applyFont="true" applyBorder="true" applyNumberFormat="true">
      <alignment horizontal="right" vertical="top" indent="1" wrapText="false"/>
    </xf>
    <xf numFmtId="171" fontId="241" fillId="8" borderId="6" xfId="0" applyFill="true" applyFont="true" applyBorder="true" applyNumberFormat="true">
      <alignment horizontal="right" vertical="top" indent="1" wrapText="false"/>
    </xf>
    <xf numFmtId="169" fontId="242" fillId="8" borderId="6" xfId="0" applyFill="true" applyFont="true" applyBorder="true" applyNumberFormat="true">
      <alignment horizontal="right" vertical="top" indent="1" wrapText="false"/>
    </xf>
    <xf numFmtId="171" fontId="243" fillId="8" borderId="6" xfId="0" applyFill="true" applyFont="true" applyBorder="true" applyNumberFormat="true">
      <alignment horizontal="right" vertical="top" indent="1" wrapText="false"/>
    </xf>
    <xf numFmtId="170" fontId="244" fillId="8" borderId="6" xfId="0" applyFill="true" applyFont="true" applyBorder="true" applyNumberFormat="true">
      <alignment horizontal="right" vertical="top" indent="1" wrapText="false"/>
    </xf>
    <xf numFmtId="171" fontId="245" fillId="8" borderId="6" xfId="0" applyFill="true" applyFont="true" applyBorder="true" applyNumberFormat="true">
      <alignment horizontal="right" vertical="top" indent="1" wrapText="false"/>
    </xf>
    <xf numFmtId="170" fontId="246" fillId="8" borderId="6" xfId="0" applyFill="true" applyFont="true" applyBorder="true" applyNumberFormat="true">
      <alignment horizontal="right" vertical="top" indent="1" wrapText="false"/>
    </xf>
    <xf numFmtId="171" fontId="247" fillId="8" borderId="6" xfId="0" applyFill="true" applyFont="true" applyBorder="true" applyNumberFormat="true">
      <alignment horizontal="right" vertical="top" indent="1" wrapText="false"/>
    </xf>
    <xf numFmtId="170" fontId="248" fillId="8" borderId="6" xfId="0" applyFill="true" applyFont="true" applyBorder="true" applyNumberFormat="true">
      <alignment horizontal="right" vertical="top" indent="1" wrapText="false"/>
    </xf>
    <xf numFmtId="171" fontId="249" fillId="8" borderId="6" xfId="0" applyFill="true" applyFont="true" applyBorder="true" applyNumberFormat="true">
      <alignment horizontal="right" vertical="top" indent="1" wrapText="false"/>
    </xf>
    <xf numFmtId="170" fontId="250" fillId="8" borderId="6" xfId="0" applyFill="true" applyFont="true" applyBorder="true" applyNumberFormat="true">
      <alignment horizontal="right" vertical="top" indent="1" wrapText="false"/>
    </xf>
    <xf numFmtId="171" fontId="251" fillId="8" borderId="6" xfId="0" applyFill="true" applyFont="true" applyBorder="true" applyNumberFormat="true">
      <alignment horizontal="right" vertical="top" indent="1" wrapText="false"/>
    </xf>
    <xf numFmtId="170" fontId="252" fillId="8" borderId="6" xfId="0" applyFill="true" applyFont="true" applyBorder="true" applyNumberFormat="true">
      <alignment horizontal="right" vertical="top" indent="1" wrapText="false"/>
    </xf>
    <xf numFmtId="171" fontId="253" fillId="8" borderId="6" xfId="0" applyFill="true" applyFont="true" applyBorder="true" applyNumberFormat="true">
      <alignment horizontal="right" vertical="top" indent="1" wrapText="false"/>
    </xf>
    <xf numFmtId="170" fontId="254" fillId="8" borderId="6" xfId="0" applyFill="true" applyFont="true" applyBorder="true" applyNumberFormat="true">
      <alignment horizontal="right" vertical="top" indent="1" wrapText="false"/>
    </xf>
    <xf numFmtId="170" fontId="255" fillId="8" borderId="6" xfId="0" applyFill="true" applyFont="true" applyBorder="true" applyNumberFormat="true">
      <alignment horizontal="right" vertical="top" indent="1" wrapText="false"/>
    </xf>
    <xf numFmtId="170" fontId="256" fillId="8" borderId="6" xfId="0" applyFill="true" applyFont="true" applyBorder="true" applyNumberFormat="true">
      <alignment horizontal="right" vertical="top" indent="1" wrapText="false"/>
    </xf>
    <xf numFmtId="169" fontId="257" fillId="8" borderId="6" xfId="0" applyFill="true" applyFont="true" applyBorder="true" applyNumberFormat="true">
      <alignment horizontal="right" vertical="top" indent="1" wrapText="false"/>
    </xf>
    <xf numFmtId="170" fontId="258" fillId="8" borderId="6" xfId="0" applyFill="true" applyFont="true" applyBorder="true" applyNumberFormat="true">
      <alignment horizontal="right" vertical="top" indent="1" wrapText="false"/>
    </xf>
    <xf numFmtId="170" fontId="259" fillId="8" borderId="6" xfId="0" applyFill="true" applyFont="true" applyBorder="true" applyNumberFormat="true">
      <alignment horizontal="right" vertical="top" indent="1" wrapText="false"/>
    </xf>
    <xf numFmtId="169" fontId="260" fillId="8" borderId="6" xfId="0" applyFill="true" applyFont="true" applyBorder="true" applyNumberFormat="true">
      <alignment horizontal="right" vertical="top" indent="1" wrapText="false"/>
    </xf>
    <xf numFmtId="170" fontId="261" fillId="8" borderId="6" xfId="0" applyFill="true" applyFont="true" applyBorder="true" applyNumberFormat="true">
      <alignment horizontal="right" vertical="top" indent="1" wrapText="false"/>
    </xf>
    <xf numFmtId="170" fontId="262" fillId="8" borderId="6" xfId="0" applyFill="true" applyFont="true" applyBorder="true" applyNumberFormat="true">
      <alignment horizontal="right" vertical="top" indent="1" wrapText="false"/>
    </xf>
    <xf numFmtId="169" fontId="263" fillId="8" borderId="6" xfId="0" applyFill="true" applyFont="true" applyBorder="true" applyNumberFormat="true">
      <alignment horizontal="right" vertical="top" indent="1" wrapText="false"/>
    </xf>
    <xf numFmtId="170" fontId="264" fillId="8" borderId="6" xfId="0" applyFill="true" applyFont="true" applyBorder="true" applyNumberFormat="true">
      <alignment horizontal="right" vertical="top" indent="1" wrapText="false"/>
    </xf>
    <xf numFmtId="170" fontId="265" fillId="8" borderId="6" xfId="0" applyFill="true" applyFont="true" applyBorder="true" applyNumberFormat="true">
      <alignment horizontal="right" vertical="top" indent="1" wrapText="false"/>
    </xf>
    <xf numFmtId="169" fontId="266" fillId="8" borderId="6" xfId="0" applyFill="true" applyFont="true" applyBorder="true" applyNumberFormat="true">
      <alignment horizontal="right" vertical="top" indent="1" wrapText="false"/>
    </xf>
    <xf numFmtId="0" fontId="267" fillId="8" borderId="6" xfId="0" applyFill="true" applyFont="true" applyBorder="true">
      <alignment horizontal="right" vertical="top" indent="1" wrapText="false"/>
    </xf>
    <xf numFmtId="0" fontId="268" fillId="8" borderId="6" xfId="0" applyFill="true" applyFont="true" applyBorder="true">
      <alignment horizontal="general" vertical="top" indent="1" wrapText="false"/>
    </xf>
    <xf numFmtId="0" fontId="269" fillId="6" borderId="6" xfId="0" applyFill="true" applyFont="true" applyBorder="true">
      <alignment horizontal="general" vertical="top" indent="1" wrapText="false"/>
    </xf>
    <xf numFmtId="0" fontId="270" fillId="6" borderId="6" xfId="0" applyFill="true" applyFont="true" applyBorder="true">
      <alignment horizontal="left" vertical="top" indent="1" wrapText="false"/>
    </xf>
    <xf numFmtId="0" fontId="271" fillId="6" borderId="6" xfId="0" applyFill="true" applyFont="true" applyBorder="true">
      <alignment horizontal="left" vertical="top" indent="1" wrapText="false"/>
    </xf>
    <xf numFmtId="0" fontId="272" fillId="6" borderId="6" xfId="0" applyFill="true" applyFont="true" applyBorder="true">
      <alignment horizontal="left" vertical="top" indent="1" wrapText="false"/>
    </xf>
    <xf numFmtId="0" fontId="273" fillId="6" borderId="6" xfId="0" applyFill="true" applyFont="true" applyBorder="true">
      <alignment horizontal="left" vertical="top" indent="1" wrapText="false"/>
    </xf>
    <xf numFmtId="0" fontId="274" fillId="6" borderId="6" xfId="0" applyFill="true" applyFont="true" applyBorder="true">
      <alignment horizontal="left" vertical="top" indent="1" wrapText="false"/>
    </xf>
    <xf numFmtId="0" fontId="275" fillId="6" borderId="6" xfId="0" applyFill="true" applyFont="true" applyBorder="true">
      <alignment horizontal="left" vertical="top" indent="1" wrapText="false"/>
    </xf>
    <xf numFmtId="0" fontId="276" fillId="6" borderId="6" xfId="0" applyFill="true" applyFont="true" applyBorder="true">
      <alignment horizontal="left" vertical="top" indent="1" wrapText="false"/>
    </xf>
    <xf numFmtId="0" fontId="277" fillId="6" borderId="6" xfId="0" applyFill="true" applyFont="true" applyBorder="true">
      <alignment horizontal="left" vertical="top" indent="1" wrapText="false"/>
    </xf>
    <xf numFmtId="0" fontId="278" fillId="6" borderId="6" xfId="0" applyFill="true" applyFont="true" applyBorder="true">
      <alignment horizontal="left" vertical="top" indent="1" wrapText="false"/>
    </xf>
    <xf numFmtId="0" fontId="279" fillId="6" borderId="6" xfId="0" applyFill="true" applyFont="true" applyBorder="true">
      <alignment horizontal="left" vertical="top" indent="1" wrapText="false"/>
    </xf>
    <xf numFmtId="0" fontId="280" fillId="6" borderId="6" xfId="0" applyFill="true" applyFont="true" applyBorder="true">
      <alignment horizontal="left" vertical="top" indent="1" wrapText="false"/>
    </xf>
    <xf numFmtId="165" fontId="281" fillId="6" borderId="6" xfId="0" applyFill="true" applyFont="true" applyBorder="true" applyNumberFormat="true">
      <alignment horizontal="right" vertical="top" indent="1" wrapText="false"/>
    </xf>
    <xf numFmtId="0" fontId="282" fillId="6" borderId="6" xfId="0" applyFill="true" applyFont="true" applyBorder="true">
      <alignment horizontal="left" vertical="top" indent="1" wrapText="false"/>
    </xf>
    <xf numFmtId="0" fontId="283" fillId="6" borderId="6" xfId="0" applyFill="true" applyFont="true" applyBorder="true">
      <alignment horizontal="left" vertical="top" indent="1" wrapText="false"/>
    </xf>
    <xf numFmtId="0" fontId="284" fillId="6" borderId="6" xfId="0" applyFill="true" applyFont="true" applyBorder="true">
      <alignment horizontal="left" vertical="top" indent="1" wrapText="false"/>
    </xf>
    <xf numFmtId="0" fontId="285" fillId="6" borderId="6" xfId="0" applyFill="true" applyFont="true" applyBorder="true">
      <alignment horizontal="left" vertical="top" indent="1" wrapText="false"/>
    </xf>
    <xf numFmtId="166" fontId="286" fillId="6" borderId="6" xfId="0" applyFill="true" applyFont="true" applyBorder="true" applyNumberFormat="true">
      <alignment horizontal="right" vertical="top" indent="1" wrapText="false"/>
    </xf>
    <xf numFmtId="0" fontId="287" fillId="6" borderId="6" xfId="0" applyFill="true" applyFont="true" applyBorder="true">
      <alignment horizontal="left" vertical="top" indent="1" wrapText="false"/>
    </xf>
    <xf numFmtId="0" fontId="288" fillId="6" borderId="6" xfId="0" applyFill="true" applyFont="true" applyBorder="true">
      <alignment horizontal="left" vertical="top" indent="1" wrapText="false"/>
    </xf>
    <xf numFmtId="167" fontId="289" fillId="6" borderId="6" xfId="0" applyFill="true" applyFont="true" applyBorder="true" applyNumberFormat="true">
      <alignment horizontal="right" vertical="top" indent="1" wrapText="false"/>
    </xf>
    <xf numFmtId="0" fontId="290" fillId="6" borderId="6" xfId="0" applyFill="true" applyFont="true" applyBorder="true">
      <alignment horizontal="left" vertical="top" indent="1" wrapText="false"/>
    </xf>
    <xf numFmtId="0" fontId="291" fillId="6" borderId="6" xfId="0" applyFill="true" applyFont="true" applyBorder="true">
      <alignment horizontal="left" vertical="top" indent="1" wrapText="true"/>
    </xf>
    <xf numFmtId="0" fontId="292" fillId="6" borderId="6" xfId="0" applyFill="true" applyFont="true" applyBorder="true">
      <alignment horizontal="left" vertical="top" indent="1" wrapText="true"/>
    </xf>
    <xf numFmtId="165" fontId="293" fillId="6" borderId="6" xfId="0" applyFill="true" applyFont="true" applyBorder="true" applyNumberFormat="true">
      <alignment horizontal="right" vertical="top" indent="1" wrapText="false"/>
    </xf>
    <xf numFmtId="165" fontId="294" fillId="6" borderId="6" xfId="0" applyFill="true" applyFont="true" applyBorder="true" applyNumberFormat="true">
      <alignment horizontal="right" vertical="top" indent="1" wrapText="false"/>
    </xf>
    <xf numFmtId="165" fontId="295" fillId="6" borderId="6" xfId="0" applyFill="true" applyFont="true" applyBorder="true" applyNumberFormat="true">
      <alignment horizontal="right" vertical="top" indent="1" wrapText="false"/>
    </xf>
    <xf numFmtId="165" fontId="296" fillId="6" borderId="6" xfId="0" applyFill="true" applyFont="true" applyBorder="true" applyNumberFormat="true">
      <alignment horizontal="right" vertical="top" indent="1" wrapText="false"/>
    </xf>
    <xf numFmtId="165" fontId="297" fillId="6" borderId="6" xfId="0" applyFill="true" applyFont="true" applyBorder="true" applyNumberFormat="true">
      <alignment horizontal="right" vertical="top" indent="1" wrapText="false"/>
    </xf>
    <xf numFmtId="0" fontId="298" fillId="6" borderId="6" xfId="0" applyFill="true" applyFont="true" applyBorder="true">
      <alignment horizontal="right" vertical="top" indent="1" wrapText="false"/>
    </xf>
    <xf numFmtId="0" fontId="299" fillId="6" borderId="6" xfId="0" applyFill="true" applyFont="true" applyBorder="true">
      <alignment horizontal="left" vertical="top" indent="1" wrapText="false"/>
    </xf>
    <xf numFmtId="0" fontId="300" fillId="6" borderId="6" xfId="0" applyFill="true" applyFont="true" applyBorder="true">
      <alignment horizontal="left" vertical="top" indent="1" wrapText="false"/>
    </xf>
    <xf numFmtId="0" fontId="301" fillId="6" borderId="6" xfId="0" applyFill="true" applyFont="true" applyBorder="true">
      <alignment horizontal="left" vertical="top" indent="1" wrapText="false"/>
    </xf>
    <xf numFmtId="0" fontId="302" fillId="6" borderId="6" xfId="0" applyFill="true" applyFont="true" applyBorder="true">
      <alignment horizontal="left" vertical="top" indent="1" wrapText="false"/>
    </xf>
    <xf numFmtId="0" fontId="303" fillId="6" borderId="6" xfId="0" applyFill="true" applyFont="true" applyBorder="true">
      <alignment horizontal="left" vertical="top" indent="1" wrapText="false"/>
    </xf>
    <xf numFmtId="0" fontId="304" fillId="6" borderId="6" xfId="0" applyFill="true" applyFont="true" applyBorder="true">
      <alignment horizontal="left" vertical="top" indent="1" wrapText="false"/>
    </xf>
    <xf numFmtId="0" fontId="305" fillId="6" borderId="6" xfId="0" applyFill="true" applyFont="true" applyBorder="true">
      <alignment horizontal="left" vertical="top" indent="1" wrapText="false"/>
    </xf>
    <xf numFmtId="0" fontId="306" fillId="6" borderId="6" xfId="0" applyFill="true" applyFont="true" applyBorder="true">
      <alignment horizontal="left" vertical="top" indent="1" wrapText="false"/>
    </xf>
    <xf numFmtId="0" fontId="307" fillId="6" borderId="6" xfId="0" applyFill="true" applyFont="true" applyBorder="true">
      <alignment horizontal="left" vertical="top" indent="1" wrapText="false"/>
    </xf>
    <xf numFmtId="0" fontId="308" fillId="6" borderId="6" xfId="0" applyFill="true" applyFont="true" applyBorder="true">
      <alignment horizontal="left" vertical="top" indent="1" wrapText="false"/>
    </xf>
    <xf numFmtId="0" fontId="309" fillId="6" borderId="6" xfId="0" applyFill="true" applyFont="true" applyBorder="true">
      <alignment horizontal="right" vertical="top" indent="1" wrapText="false"/>
    </xf>
    <xf numFmtId="0" fontId="310" fillId="6" borderId="6" xfId="0" applyFill="true" applyFont="true" applyBorder="true">
      <alignment horizontal="left" vertical="top" indent="1" wrapText="false"/>
    </xf>
    <xf numFmtId="0" fontId="311" fillId="6" borderId="6" xfId="0" applyFill="true" applyFont="true" applyBorder="true">
      <alignment horizontal="right" vertical="top" indent="1" wrapText="false"/>
    </xf>
    <xf numFmtId="0" fontId="312" fillId="6" borderId="6" xfId="0" applyFill="true" applyFont="true" applyBorder="true">
      <alignment horizontal="right" vertical="top" indent="1" wrapText="false"/>
    </xf>
    <xf numFmtId="0" fontId="313" fillId="6" borderId="6" xfId="0" applyFill="true" applyFont="true" applyBorder="true">
      <alignment horizontal="left" vertical="top" indent="1" wrapText="false"/>
    </xf>
    <xf numFmtId="0" fontId="314" fillId="6" borderId="6" xfId="0" applyFill="true" applyFont="true" applyBorder="true">
      <alignment horizontal="left" vertical="top" indent="1" wrapText="false"/>
    </xf>
    <xf numFmtId="0" fontId="315" fillId="6" borderId="6" xfId="0" applyFill="true" applyFont="true" applyBorder="true">
      <alignment horizontal="left" vertical="top" indent="1" wrapText="false"/>
    </xf>
    <xf numFmtId="0" fontId="316" fillId="6" borderId="6" xfId="0" applyFill="true" applyFont="true" applyBorder="true">
      <alignment horizontal="left" vertical="top" indent="1" wrapText="false"/>
    </xf>
    <xf numFmtId="0" fontId="317" fillId="6" borderId="6" xfId="0" applyFill="true" applyFont="true" applyBorder="true">
      <alignment horizontal="left" vertical="top" indent="1" wrapText="false"/>
    </xf>
    <xf numFmtId="0" fontId="318" fillId="6" borderId="6" xfId="0" applyFill="true" applyFont="true" applyBorder="true">
      <alignment horizontal="right" vertical="top" indent="1" wrapText="false"/>
    </xf>
    <xf numFmtId="0" fontId="319" fillId="6" borderId="6" xfId="0" applyFill="true" applyFont="true" applyBorder="true">
      <alignment horizontal="left" vertical="top" indent="1" wrapText="false"/>
    </xf>
    <xf numFmtId="0" fontId="320" fillId="6" borderId="6" xfId="0" applyFill="true" applyFont="true" applyBorder="true">
      <alignment horizontal="left" vertical="top" indent="1" wrapText="false"/>
    </xf>
    <xf numFmtId="0" fontId="321" fillId="6" borderId="6" xfId="0" applyFill="true" applyFont="true" applyBorder="true">
      <alignment horizontal="left" vertical="top" indent="1" wrapText="false"/>
    </xf>
    <xf numFmtId="0" fontId="322" fillId="6" borderId="6" xfId="0" applyFill="true" applyFont="true" applyBorder="true">
      <alignment horizontal="left" vertical="top" indent="1" wrapText="false"/>
    </xf>
    <xf numFmtId="0" fontId="323" fillId="6" borderId="6" xfId="0" applyFill="true" applyFont="true" applyBorder="true">
      <alignment horizontal="left" vertical="top" indent="1" wrapText="false"/>
    </xf>
    <xf numFmtId="0" fontId="324" fillId="6" borderId="6" xfId="0" applyFill="true" applyFont="true" applyBorder="true">
      <alignment horizontal="left" vertical="top" indent="1" wrapText="false"/>
    </xf>
    <xf numFmtId="0" fontId="325" fillId="6" borderId="6" xfId="0" applyFill="true" applyFont="true" applyBorder="true">
      <alignment horizontal="left" vertical="top" indent="1" wrapText="false"/>
    </xf>
    <xf numFmtId="0" fontId="326" fillId="6" borderId="6" xfId="0" applyFill="true" applyFont="true" applyBorder="true">
      <alignment horizontal="left" vertical="top" indent="1" wrapText="false"/>
    </xf>
    <xf numFmtId="168" fontId="327" fillId="6" borderId="6" xfId="0" applyFill="true" applyFont="true" applyBorder="true" applyNumberFormat="true">
      <alignment horizontal="right" vertical="top" indent="1" wrapText="false"/>
    </xf>
    <xf numFmtId="165" fontId="328" fillId="6" borderId="6" xfId="0" applyFill="true" applyFont="true" applyBorder="true" applyNumberFormat="true">
      <alignment horizontal="right" vertical="top" indent="1" wrapText="false"/>
    </xf>
    <xf numFmtId="0" fontId="329" fillId="6" borderId="6" xfId="0" applyFill="true" applyFont="true" applyBorder="true">
      <alignment horizontal="left" vertical="top" indent="1" wrapText="false"/>
    </xf>
    <xf numFmtId="165" fontId="330" fillId="6" borderId="6" xfId="0" applyFill="true" applyFont="true" applyBorder="true" applyNumberFormat="true">
      <alignment horizontal="right" vertical="top" indent="1" wrapText="false"/>
    </xf>
    <xf numFmtId="0" fontId="331" fillId="6" borderId="6" xfId="0" applyFill="true" applyFont="true" applyBorder="true">
      <alignment horizontal="left" vertical="top" indent="1" wrapText="false"/>
    </xf>
    <xf numFmtId="0" fontId="332" fillId="6" borderId="6" xfId="0" applyFill="true" applyFont="true" applyBorder="true">
      <alignment horizontal="left" vertical="top" indent="1" wrapText="false"/>
    </xf>
    <xf numFmtId="0" fontId="333" fillId="6" borderId="6" xfId="0" applyFill="true" applyFont="true" applyBorder="true">
      <alignment horizontal="left" vertical="top" indent="1" wrapText="false"/>
    </xf>
    <xf numFmtId="0" fontId="334" fillId="6" borderId="6" xfId="0" applyFill="true" applyFont="true" applyBorder="true">
      <alignment horizontal="left" vertical="top" indent="1" wrapText="false"/>
    </xf>
    <xf numFmtId="0" fontId="335" fillId="6" borderId="6" xfId="0" applyFill="true" applyFont="true" applyBorder="true">
      <alignment horizontal="left" vertical="top" indent="1" wrapText="false"/>
    </xf>
    <xf numFmtId="0" fontId="336" fillId="6" borderId="6" xfId="0" applyFill="true" applyFont="true" applyBorder="true">
      <alignment horizontal="left" vertical="top" indent="1" wrapText="false"/>
    </xf>
    <xf numFmtId="0" fontId="337" fillId="6" borderId="6" xfId="0" applyFill="true" applyFont="true" applyBorder="true">
      <alignment horizontal="left" vertical="top" indent="1" wrapText="false"/>
    </xf>
    <xf numFmtId="0" fontId="338" fillId="6" borderId="6" xfId="0" applyFill="true" applyFont="true" applyBorder="true">
      <alignment horizontal="left" vertical="top" indent="1" wrapText="false"/>
    </xf>
    <xf numFmtId="0" fontId="339" fillId="6" borderId="6" xfId="0" applyFill="true" applyFont="true" applyBorder="true">
      <alignment horizontal="left" vertical="top" indent="1" wrapText="false"/>
    </xf>
    <xf numFmtId="168" fontId="340" fillId="6" borderId="6" xfId="0" applyFill="true" applyFont="true" applyBorder="true" applyNumberFormat="true">
      <alignment horizontal="right" vertical="top" indent="1" wrapText="false"/>
    </xf>
    <xf numFmtId="165" fontId="341" fillId="6" borderId="6" xfId="0" applyFill="true" applyFont="true" applyBorder="true" applyNumberFormat="true">
      <alignment horizontal="right" vertical="top" indent="1" wrapText="false"/>
    </xf>
    <xf numFmtId="0" fontId="342" fillId="6" borderId="6" xfId="0" applyFill="true" applyFont="true" applyBorder="true">
      <alignment horizontal="left" vertical="top" indent="1" wrapText="false"/>
    </xf>
    <xf numFmtId="165" fontId="343" fillId="6" borderId="6" xfId="0" applyFill="true" applyFont="true" applyBorder="true" applyNumberFormat="true">
      <alignment horizontal="right" vertical="top" indent="1" wrapText="false"/>
    </xf>
    <xf numFmtId="0" fontId="344" fillId="6" borderId="6" xfId="0" applyFill="true" applyFont="true" applyBorder="true">
      <alignment horizontal="left" vertical="top" indent="1" wrapText="false"/>
    </xf>
    <xf numFmtId="0" fontId="345" fillId="6" borderId="6" xfId="0" applyFill="true" applyFont="true" applyBorder="true">
      <alignment horizontal="left" vertical="top" indent="1" wrapText="false"/>
    </xf>
    <xf numFmtId="0" fontId="346" fillId="6" borderId="6" xfId="0" applyFill="true" applyFont="true" applyBorder="true">
      <alignment horizontal="left" vertical="top" indent="1" wrapText="false"/>
    </xf>
    <xf numFmtId="0" fontId="347" fillId="6" borderId="6" xfId="0" applyFill="true" applyFont="true" applyBorder="true">
      <alignment horizontal="left" vertical="top" indent="1" wrapText="false"/>
    </xf>
    <xf numFmtId="0" fontId="348" fillId="6" borderId="6" xfId="0" applyFill="true" applyFont="true" applyBorder="true">
      <alignment horizontal="left" vertical="top" indent="1" wrapText="false"/>
    </xf>
    <xf numFmtId="0" fontId="349" fillId="6" borderId="6" xfId="0" applyFill="true" applyFont="true" applyBorder="true">
      <alignment horizontal="left" vertical="top" indent="1" wrapText="false"/>
    </xf>
    <xf numFmtId="0" fontId="350" fillId="6" borderId="6" xfId="0" applyFill="true" applyFont="true" applyBorder="true">
      <alignment horizontal="left" vertical="top" indent="1" wrapText="false"/>
    </xf>
    <xf numFmtId="0" fontId="351" fillId="6" borderId="6" xfId="0" applyFill="true" applyFont="true" applyBorder="true">
      <alignment horizontal="left" vertical="top" indent="1" wrapText="false"/>
    </xf>
    <xf numFmtId="0" fontId="352" fillId="6" borderId="6" xfId="0" applyFill="true" applyFont="true" applyBorder="true">
      <alignment horizontal="left" vertical="top" indent="1" wrapText="false"/>
    </xf>
    <xf numFmtId="169" fontId="353" fillId="6" borderId="6" xfId="0" applyFill="true" applyFont="true" applyBorder="true" applyNumberFormat="true">
      <alignment horizontal="right" vertical="top" indent="1" wrapText="false"/>
    </xf>
    <xf numFmtId="170" fontId="354" fillId="6" borderId="6" xfId="0" applyFill="true" applyFont="true" applyBorder="true" applyNumberFormat="true">
      <alignment horizontal="right" vertical="top" indent="1" wrapText="false"/>
    </xf>
    <xf numFmtId="169" fontId="355" fillId="6" borderId="6" xfId="0" applyFill="true" applyFont="true" applyBorder="true" applyNumberFormat="true">
      <alignment horizontal="right" vertical="top" indent="1" wrapText="false"/>
    </xf>
    <xf numFmtId="169" fontId="356" fillId="6" borderId="6" xfId="0" applyFill="true" applyFont="true" applyBorder="true" applyNumberFormat="true">
      <alignment horizontal="right" vertical="top" indent="1" wrapText="false"/>
    </xf>
    <xf numFmtId="169" fontId="357" fillId="6" borderId="6" xfId="0" applyFill="true" applyFont="true" applyBorder="true" applyNumberFormat="true">
      <alignment horizontal="right" vertical="top" indent="1" wrapText="false"/>
    </xf>
    <xf numFmtId="170" fontId="358" fillId="6" borderId="6" xfId="0" applyFill="true" applyFont="true" applyBorder="true" applyNumberFormat="true">
      <alignment horizontal="right" vertical="top" indent="1" wrapText="false"/>
    </xf>
    <xf numFmtId="169" fontId="359" fillId="6" borderId="6" xfId="0" applyFill="true" applyFont="true" applyBorder="true" applyNumberFormat="true">
      <alignment horizontal="right" vertical="top" indent="1" wrapText="false"/>
    </xf>
    <xf numFmtId="170" fontId="360" fillId="6" borderId="6" xfId="0" applyFill="true" applyFont="true" applyBorder="true" applyNumberFormat="true">
      <alignment horizontal="right" vertical="top" indent="1" wrapText="false"/>
    </xf>
    <xf numFmtId="169" fontId="361" fillId="6" borderId="6" xfId="0" applyFill="true" applyFont="true" applyBorder="true" applyNumberFormat="true">
      <alignment horizontal="right" vertical="top" indent="1" wrapText="false"/>
    </xf>
    <xf numFmtId="170" fontId="362" fillId="6" borderId="6" xfId="0" applyFill="true" applyFont="true" applyBorder="true" applyNumberFormat="true">
      <alignment horizontal="right" vertical="top" indent="1" wrapText="false"/>
    </xf>
    <xf numFmtId="169" fontId="363" fillId="6" borderId="6" xfId="0" applyFill="true" applyFont="true" applyBorder="true" applyNumberFormat="true">
      <alignment horizontal="right" vertical="top" indent="1" wrapText="false"/>
    </xf>
    <xf numFmtId="170" fontId="364" fillId="6" borderId="6" xfId="0" applyFill="true" applyFont="true" applyBorder="true" applyNumberFormat="true">
      <alignment horizontal="right" vertical="top" indent="1" wrapText="false"/>
    </xf>
    <xf numFmtId="169" fontId="365" fillId="6" borderId="6" xfId="0" applyFill="true" applyFont="true" applyBorder="true" applyNumberFormat="true">
      <alignment horizontal="right" vertical="top" indent="1" wrapText="false"/>
    </xf>
    <xf numFmtId="170" fontId="366" fillId="6" borderId="6" xfId="0" applyFill="true" applyFont="true" applyBorder="true" applyNumberFormat="true">
      <alignment horizontal="right" vertical="top" indent="1" wrapText="false"/>
    </xf>
    <xf numFmtId="169" fontId="367" fillId="6" borderId="6" xfId="0" applyFill="true" applyFont="true" applyBorder="true" applyNumberFormat="true">
      <alignment horizontal="right" vertical="top" indent="1" wrapText="false"/>
    </xf>
    <xf numFmtId="170" fontId="368" fillId="6" borderId="6" xfId="0" applyFill="true" applyFont="true" applyBorder="true" applyNumberFormat="true">
      <alignment horizontal="right" vertical="top" indent="1" wrapText="false"/>
    </xf>
    <xf numFmtId="171" fontId="369" fillId="6" borderId="6" xfId="0" applyFill="true" applyFont="true" applyBorder="true" applyNumberFormat="true">
      <alignment horizontal="right" vertical="top" indent="1" wrapText="false"/>
    </xf>
    <xf numFmtId="170" fontId="370" fillId="6" borderId="6" xfId="0" applyFill="true" applyFont="true" applyBorder="true" applyNumberFormat="true">
      <alignment horizontal="right" vertical="top" indent="1" wrapText="false"/>
    </xf>
    <xf numFmtId="171" fontId="371" fillId="6" borderId="6" xfId="0" applyFill="true" applyFont="true" applyBorder="true" applyNumberFormat="true">
      <alignment horizontal="right" vertical="top" indent="1" wrapText="false"/>
    </xf>
    <xf numFmtId="169" fontId="372" fillId="6" borderId="6" xfId="0" applyFill="true" applyFont="true" applyBorder="true" applyNumberFormat="true">
      <alignment horizontal="right" vertical="top" indent="1" wrapText="false"/>
    </xf>
    <xf numFmtId="171" fontId="373" fillId="6" borderId="6" xfId="0" applyFill="true" applyFont="true" applyBorder="true" applyNumberFormat="true">
      <alignment horizontal="right" vertical="top" indent="1" wrapText="false"/>
    </xf>
    <xf numFmtId="170" fontId="374" fillId="6" borderId="6" xfId="0" applyFill="true" applyFont="true" applyBorder="true" applyNumberFormat="true">
      <alignment horizontal="right" vertical="top" indent="1" wrapText="false"/>
    </xf>
    <xf numFmtId="171" fontId="375" fillId="6" borderId="6" xfId="0" applyFill="true" applyFont="true" applyBorder="true" applyNumberFormat="true">
      <alignment horizontal="right" vertical="top" indent="1" wrapText="false"/>
    </xf>
    <xf numFmtId="170" fontId="376" fillId="6" borderId="6" xfId="0" applyFill="true" applyFont="true" applyBorder="true" applyNumberFormat="true">
      <alignment horizontal="right" vertical="top" indent="1" wrapText="false"/>
    </xf>
    <xf numFmtId="171" fontId="377" fillId="6" borderId="6" xfId="0" applyFill="true" applyFont="true" applyBorder="true" applyNumberFormat="true">
      <alignment horizontal="right" vertical="top" indent="1" wrapText="false"/>
    </xf>
    <xf numFmtId="170" fontId="378" fillId="6" borderId="6" xfId="0" applyFill="true" applyFont="true" applyBorder="true" applyNumberFormat="true">
      <alignment horizontal="right" vertical="top" indent="1" wrapText="false"/>
    </xf>
    <xf numFmtId="171" fontId="379" fillId="6" borderId="6" xfId="0" applyFill="true" applyFont="true" applyBorder="true" applyNumberFormat="true">
      <alignment horizontal="right" vertical="top" indent="1" wrapText="false"/>
    </xf>
    <xf numFmtId="170" fontId="380" fillId="6" borderId="6" xfId="0" applyFill="true" applyFont="true" applyBorder="true" applyNumberFormat="true">
      <alignment horizontal="right" vertical="top" indent="1" wrapText="false"/>
    </xf>
    <xf numFmtId="171" fontId="381" fillId="6" borderId="6" xfId="0" applyFill="true" applyFont="true" applyBorder="true" applyNumberFormat="true">
      <alignment horizontal="right" vertical="top" indent="1" wrapText="false"/>
    </xf>
    <xf numFmtId="170" fontId="382" fillId="6" borderId="6" xfId="0" applyFill="true" applyFont="true" applyBorder="true" applyNumberFormat="true">
      <alignment horizontal="right" vertical="top" indent="1" wrapText="false"/>
    </xf>
    <xf numFmtId="171" fontId="383" fillId="6" borderId="6" xfId="0" applyFill="true" applyFont="true" applyBorder="true" applyNumberFormat="true">
      <alignment horizontal="right" vertical="top" indent="1" wrapText="false"/>
    </xf>
    <xf numFmtId="170" fontId="384" fillId="6" borderId="6" xfId="0" applyFill="true" applyFont="true" applyBorder="true" applyNumberFormat="true">
      <alignment horizontal="right" vertical="top" indent="1" wrapText="false"/>
    </xf>
    <xf numFmtId="170" fontId="385" fillId="6" borderId="6" xfId="0" applyFill="true" applyFont="true" applyBorder="true" applyNumberFormat="true">
      <alignment horizontal="right" vertical="top" indent="1" wrapText="false"/>
    </xf>
    <xf numFmtId="170" fontId="386" fillId="6" borderId="6" xfId="0" applyFill="true" applyFont="true" applyBorder="true" applyNumberFormat="true">
      <alignment horizontal="right" vertical="top" indent="1" wrapText="false"/>
    </xf>
    <xf numFmtId="169" fontId="387" fillId="6" borderId="6" xfId="0" applyFill="true" applyFont="true" applyBorder="true" applyNumberFormat="true">
      <alignment horizontal="right" vertical="top" indent="1" wrapText="false"/>
    </xf>
    <xf numFmtId="170" fontId="388" fillId="6" borderId="6" xfId="0" applyFill="true" applyFont="true" applyBorder="true" applyNumberFormat="true">
      <alignment horizontal="right" vertical="top" indent="1" wrapText="false"/>
    </xf>
    <xf numFmtId="170" fontId="389" fillId="6" borderId="6" xfId="0" applyFill="true" applyFont="true" applyBorder="true" applyNumberFormat="true">
      <alignment horizontal="right" vertical="top" indent="1" wrapText="false"/>
    </xf>
    <xf numFmtId="169" fontId="390" fillId="6" borderId="6" xfId="0" applyFill="true" applyFont="true" applyBorder="true" applyNumberFormat="true">
      <alignment horizontal="right" vertical="top" indent="1" wrapText="false"/>
    </xf>
    <xf numFmtId="170" fontId="391" fillId="6" borderId="6" xfId="0" applyFill="true" applyFont="true" applyBorder="true" applyNumberFormat="true">
      <alignment horizontal="right" vertical="top" indent="1" wrapText="false"/>
    </xf>
    <xf numFmtId="170" fontId="392" fillId="6" borderId="6" xfId="0" applyFill="true" applyFont="true" applyBorder="true" applyNumberFormat="true">
      <alignment horizontal="right" vertical="top" indent="1" wrapText="false"/>
    </xf>
    <xf numFmtId="169" fontId="393" fillId="6" borderId="6" xfId="0" applyFill="true" applyFont="true" applyBorder="true" applyNumberFormat="true">
      <alignment horizontal="right" vertical="top" indent="1" wrapText="false"/>
    </xf>
    <xf numFmtId="170" fontId="394" fillId="6" borderId="6" xfId="0" applyFill="true" applyFont="true" applyBorder="true" applyNumberFormat="true">
      <alignment horizontal="right" vertical="top" indent="1" wrapText="false"/>
    </xf>
    <xf numFmtId="170" fontId="395" fillId="6" borderId="6" xfId="0" applyFill="true" applyFont="true" applyBorder="true" applyNumberFormat="true">
      <alignment horizontal="right" vertical="top" indent="1" wrapText="false"/>
    </xf>
    <xf numFmtId="169" fontId="396" fillId="6" borderId="6" xfId="0" applyFill="true" applyFont="true" applyBorder="true" applyNumberFormat="true">
      <alignment horizontal="right" vertical="top" indent="1" wrapText="false"/>
    </xf>
    <xf numFmtId="0" fontId="397" fillId="6" borderId="6" xfId="0" applyFill="true" applyFont="true" applyBorder="true">
      <alignment horizontal="right" vertical="top" indent="1" wrapText="false"/>
    </xf>
    <xf numFmtId="0" fontId="398" fillId="6" borderId="6" xfId="0" applyFill="true" applyFont="true" applyBorder="true">
      <alignment horizontal="general" vertical="top" indent="1" wrapText="false"/>
    </xf>
    <xf numFmtId="0" fontId="399" fillId="8" borderId="6" xfId="0" applyFill="true" applyFont="true" applyBorder="true">
      <alignment horizontal="general" vertical="top" indent="1" wrapText="false"/>
    </xf>
    <xf numFmtId="0" fontId="400" fillId="8" borderId="6" xfId="0" applyFill="true" applyFont="true" applyBorder="true">
      <alignment horizontal="left" vertical="top" indent="1" wrapText="false"/>
    </xf>
    <xf numFmtId="0" fontId="401" fillId="8" borderId="6" xfId="0" applyFill="true" applyFont="true" applyBorder="true">
      <alignment horizontal="left" vertical="top" indent="1" wrapText="false"/>
    </xf>
    <xf numFmtId="0" fontId="402" fillId="8" borderId="6" xfId="0" applyFill="true" applyFont="true" applyBorder="true">
      <alignment horizontal="left" vertical="top" indent="1" wrapText="false"/>
    </xf>
    <xf numFmtId="0" fontId="403" fillId="8" borderId="6" xfId="0" applyFill="true" applyFont="true" applyBorder="true">
      <alignment horizontal="left" vertical="top" indent="1" wrapText="false"/>
    </xf>
    <xf numFmtId="0" fontId="404" fillId="8" borderId="6" xfId="0" applyFill="true" applyFont="true" applyBorder="true">
      <alignment horizontal="left" vertical="top" indent="1" wrapText="false"/>
    </xf>
    <xf numFmtId="0" fontId="405" fillId="8" borderId="6" xfId="0" applyFill="true" applyFont="true" applyBorder="true">
      <alignment horizontal="left" vertical="top" indent="1" wrapText="false"/>
    </xf>
    <xf numFmtId="0" fontId="406" fillId="8" borderId="6" xfId="0" applyFill="true" applyFont="true" applyBorder="true">
      <alignment horizontal="left" vertical="top" indent="1" wrapText="false"/>
    </xf>
    <xf numFmtId="0" fontId="407" fillId="8" borderId="6" xfId="0" applyFill="true" applyFont="true" applyBorder="true">
      <alignment horizontal="left" vertical="top" indent="1" wrapText="false"/>
    </xf>
    <xf numFmtId="0" fontId="408" fillId="8" borderId="6" xfId="0" applyFill="true" applyFont="true" applyBorder="true">
      <alignment horizontal="left" vertical="top" indent="1" wrapText="false"/>
    </xf>
    <xf numFmtId="0" fontId="409" fillId="8" borderId="6" xfId="0" applyFill="true" applyFont="true" applyBorder="true">
      <alignment horizontal="left" vertical="top" indent="1" wrapText="false"/>
    </xf>
    <xf numFmtId="0" fontId="410" fillId="8" borderId="6" xfId="0" applyFill="true" applyFont="true" applyBorder="true">
      <alignment horizontal="left" vertical="top" indent="1" wrapText="false"/>
    </xf>
    <xf numFmtId="165" fontId="411" fillId="8" borderId="6" xfId="0" applyFill="true" applyFont="true" applyBorder="true" applyNumberFormat="true">
      <alignment horizontal="right" vertical="top" indent="1" wrapText="false"/>
    </xf>
    <xf numFmtId="0" fontId="412" fillId="8" borderId="6" xfId="0" applyFill="true" applyFont="true" applyBorder="true">
      <alignment horizontal="left" vertical="top" indent="1" wrapText="false"/>
    </xf>
    <xf numFmtId="0" fontId="413" fillId="8" borderId="6" xfId="0" applyFill="true" applyFont="true" applyBorder="true">
      <alignment horizontal="left" vertical="top" indent="1" wrapText="false"/>
    </xf>
    <xf numFmtId="0" fontId="414" fillId="8" borderId="6" xfId="0" applyFill="true" applyFont="true" applyBorder="true">
      <alignment horizontal="left" vertical="top" indent="1" wrapText="false"/>
    </xf>
    <xf numFmtId="0" fontId="415" fillId="8" borderId="6" xfId="0" applyFill="true" applyFont="true" applyBorder="true">
      <alignment horizontal="left" vertical="top" indent="1" wrapText="false"/>
    </xf>
    <xf numFmtId="166" fontId="416" fillId="8" borderId="6" xfId="0" applyFill="true" applyFont="true" applyBorder="true" applyNumberFormat="true">
      <alignment horizontal="right" vertical="top" indent="1" wrapText="false"/>
    </xf>
    <xf numFmtId="0" fontId="417" fillId="8" borderId="6" xfId="0" applyFill="true" applyFont="true" applyBorder="true">
      <alignment horizontal="left" vertical="top" indent="1" wrapText="false"/>
    </xf>
    <xf numFmtId="0" fontId="418" fillId="8" borderId="6" xfId="0" applyFill="true" applyFont="true" applyBorder="true">
      <alignment horizontal="left" vertical="top" indent="1" wrapText="false"/>
    </xf>
    <xf numFmtId="167" fontId="419" fillId="8" borderId="6" xfId="0" applyFill="true" applyFont="true" applyBorder="true" applyNumberFormat="true">
      <alignment horizontal="right" vertical="top" indent="1" wrapText="false"/>
    </xf>
    <xf numFmtId="0" fontId="420" fillId="8" borderId="6" xfId="0" applyFill="true" applyFont="true" applyBorder="true">
      <alignment horizontal="left" vertical="top" indent="1" wrapText="false"/>
    </xf>
    <xf numFmtId="0" fontId="421" fillId="8" borderId="6" xfId="0" applyFill="true" applyFont="true" applyBorder="true">
      <alignment horizontal="left" vertical="top" indent="1" wrapText="true"/>
    </xf>
    <xf numFmtId="0" fontId="422" fillId="8" borderId="6" xfId="0" applyFill="true" applyFont="true" applyBorder="true">
      <alignment horizontal="left" vertical="top" indent="1" wrapText="true"/>
    </xf>
    <xf numFmtId="165" fontId="423" fillId="8" borderId="6" xfId="0" applyFill="true" applyFont="true" applyBorder="true" applyNumberFormat="true">
      <alignment horizontal="right" vertical="top" indent="1" wrapText="false"/>
    </xf>
    <xf numFmtId="165" fontId="424" fillId="8" borderId="6" xfId="0" applyFill="true" applyFont="true" applyBorder="true" applyNumberFormat="true">
      <alignment horizontal="right" vertical="top" indent="1" wrapText="false"/>
    </xf>
    <xf numFmtId="165" fontId="425" fillId="8" borderId="6" xfId="0" applyFill="true" applyFont="true" applyBorder="true" applyNumberFormat="true">
      <alignment horizontal="right" vertical="top" indent="1" wrapText="false"/>
    </xf>
    <xf numFmtId="165" fontId="426" fillId="8" borderId="6" xfId="0" applyFill="true" applyFont="true" applyBorder="true" applyNumberFormat="true">
      <alignment horizontal="right" vertical="top" indent="1" wrapText="false"/>
    </xf>
    <xf numFmtId="165" fontId="427" fillId="8" borderId="6" xfId="0" applyFill="true" applyFont="true" applyBorder="true" applyNumberFormat="true">
      <alignment horizontal="right" vertical="top" indent="1" wrapText="false"/>
    </xf>
    <xf numFmtId="0" fontId="428" fillId="8" borderId="6" xfId="0" applyFill="true" applyFont="true" applyBorder="true">
      <alignment horizontal="right" vertical="top" indent="1" wrapText="false"/>
    </xf>
    <xf numFmtId="0" fontId="429" fillId="8" borderId="6" xfId="0" applyFill="true" applyFont="true" applyBorder="true">
      <alignment horizontal="left" vertical="top" indent="1" wrapText="false"/>
    </xf>
    <xf numFmtId="0" fontId="430" fillId="8" borderId="6" xfId="0" applyFill="true" applyFont="true" applyBorder="true">
      <alignment horizontal="left" vertical="top" indent="1" wrapText="false"/>
    </xf>
    <xf numFmtId="0" fontId="431" fillId="8" borderId="6" xfId="0" applyFill="true" applyFont="true" applyBorder="true">
      <alignment horizontal="left" vertical="top" indent="1" wrapText="false"/>
    </xf>
    <xf numFmtId="0" fontId="432" fillId="8" borderId="6" xfId="0" applyFill="true" applyFont="true" applyBorder="true">
      <alignment horizontal="left" vertical="top" indent="1" wrapText="false"/>
    </xf>
    <xf numFmtId="0" fontId="433" fillId="8" borderId="6" xfId="0" applyFill="true" applyFont="true" applyBorder="true">
      <alignment horizontal="left" vertical="top" indent="1" wrapText="false"/>
    </xf>
    <xf numFmtId="0" fontId="434" fillId="8" borderId="6" xfId="0" applyFill="true" applyFont="true" applyBorder="true">
      <alignment horizontal="left" vertical="top" indent="1" wrapText="false"/>
    </xf>
    <xf numFmtId="0" fontId="435" fillId="8" borderId="6" xfId="0" applyFill="true" applyFont="true" applyBorder="true">
      <alignment horizontal="left" vertical="top" indent="1" wrapText="false"/>
    </xf>
    <xf numFmtId="0" fontId="436" fillId="8" borderId="6" xfId="0" applyFill="true" applyFont="true" applyBorder="true">
      <alignment horizontal="left" vertical="top" indent="1" wrapText="false"/>
    </xf>
    <xf numFmtId="0" fontId="437" fillId="8" borderId="6" xfId="0" applyFill="true" applyFont="true" applyBorder="true">
      <alignment horizontal="left" vertical="top" indent="1" wrapText="false"/>
    </xf>
    <xf numFmtId="0" fontId="438" fillId="8" borderId="6" xfId="0" applyFill="true" applyFont="true" applyBorder="true">
      <alignment horizontal="left" vertical="top" indent="1" wrapText="false"/>
    </xf>
    <xf numFmtId="0" fontId="439" fillId="8" borderId="6" xfId="0" applyFill="true" applyFont="true" applyBorder="true">
      <alignment horizontal="right" vertical="top" indent="1" wrapText="false"/>
    </xf>
    <xf numFmtId="0" fontId="440" fillId="8" borderId="6" xfId="0" applyFill="true" applyFont="true" applyBorder="true">
      <alignment horizontal="left" vertical="top" indent="1" wrapText="false"/>
    </xf>
    <xf numFmtId="0" fontId="441" fillId="8" borderId="6" xfId="0" applyFill="true" applyFont="true" applyBorder="true">
      <alignment horizontal="right" vertical="top" indent="1" wrapText="false"/>
    </xf>
    <xf numFmtId="0" fontId="442" fillId="8" borderId="6" xfId="0" applyFill="true" applyFont="true" applyBorder="true">
      <alignment horizontal="right" vertical="top" indent="1" wrapText="false"/>
    </xf>
    <xf numFmtId="0" fontId="443" fillId="8" borderId="6" xfId="0" applyFill="true" applyFont="true" applyBorder="true">
      <alignment horizontal="left" vertical="top" indent="1" wrapText="false"/>
    </xf>
    <xf numFmtId="0" fontId="444" fillId="8" borderId="6" xfId="0" applyFill="true" applyFont="true" applyBorder="true">
      <alignment horizontal="left" vertical="top" indent="1" wrapText="false"/>
    </xf>
    <xf numFmtId="0" fontId="445" fillId="8" borderId="6" xfId="0" applyFill="true" applyFont="true" applyBorder="true">
      <alignment horizontal="left" vertical="top" indent="1" wrapText="false"/>
    </xf>
    <xf numFmtId="0" fontId="446" fillId="8" borderId="6" xfId="0" applyFill="true" applyFont="true" applyBorder="true">
      <alignment horizontal="left" vertical="top" indent="1" wrapText="false"/>
    </xf>
    <xf numFmtId="0" fontId="447" fillId="8" borderId="6" xfId="0" applyFill="true" applyFont="true" applyBorder="true">
      <alignment horizontal="left" vertical="top" indent="1" wrapText="false"/>
    </xf>
    <xf numFmtId="0" fontId="448" fillId="8" borderId="6" xfId="0" applyFill="true" applyFont="true" applyBorder="true">
      <alignment horizontal="right" vertical="top" indent="1" wrapText="false"/>
    </xf>
    <xf numFmtId="0" fontId="449" fillId="8" borderId="6" xfId="0" applyFill="true" applyFont="true" applyBorder="true">
      <alignment horizontal="left" vertical="top" indent="1" wrapText="false"/>
    </xf>
    <xf numFmtId="0" fontId="450" fillId="8" borderId="6" xfId="0" applyFill="true" applyFont="true" applyBorder="true">
      <alignment horizontal="left" vertical="top" indent="1" wrapText="false"/>
    </xf>
    <xf numFmtId="0" fontId="451" fillId="8" borderId="6" xfId="0" applyFill="true" applyFont="true" applyBorder="true">
      <alignment horizontal="left" vertical="top" indent="1" wrapText="false"/>
    </xf>
    <xf numFmtId="0" fontId="452" fillId="8" borderId="6" xfId="0" applyFill="true" applyFont="true" applyBorder="true">
      <alignment horizontal="left" vertical="top" indent="1" wrapText="false"/>
    </xf>
    <xf numFmtId="0" fontId="453" fillId="8" borderId="6" xfId="0" applyFill="true" applyFont="true" applyBorder="true">
      <alignment horizontal="left" vertical="top" indent="1" wrapText="false"/>
    </xf>
    <xf numFmtId="0" fontId="454" fillId="8" borderId="6" xfId="0" applyFill="true" applyFont="true" applyBorder="true">
      <alignment horizontal="left" vertical="top" indent="1" wrapText="false"/>
    </xf>
    <xf numFmtId="0" fontId="455" fillId="8" borderId="6" xfId="0" applyFill="true" applyFont="true" applyBorder="true">
      <alignment horizontal="left" vertical="top" indent="1" wrapText="false"/>
    </xf>
    <xf numFmtId="0" fontId="456" fillId="8" borderId="6" xfId="0" applyFill="true" applyFont="true" applyBorder="true">
      <alignment horizontal="left" vertical="top" indent="1" wrapText="false"/>
    </xf>
    <xf numFmtId="168" fontId="457" fillId="8" borderId="6" xfId="0" applyFill="true" applyFont="true" applyBorder="true" applyNumberFormat="true">
      <alignment horizontal="right" vertical="top" indent="1" wrapText="false"/>
    </xf>
    <xf numFmtId="165" fontId="458" fillId="8" borderId="6" xfId="0" applyFill="true" applyFont="true" applyBorder="true" applyNumberFormat="true">
      <alignment horizontal="right" vertical="top" indent="1" wrapText="false"/>
    </xf>
    <xf numFmtId="0" fontId="459" fillId="8" borderId="6" xfId="0" applyFill="true" applyFont="true" applyBorder="true">
      <alignment horizontal="left" vertical="top" indent="1" wrapText="false"/>
    </xf>
    <xf numFmtId="165" fontId="460" fillId="8" borderId="6" xfId="0" applyFill="true" applyFont="true" applyBorder="true" applyNumberFormat="true">
      <alignment horizontal="right" vertical="top" indent="1" wrapText="false"/>
    </xf>
    <xf numFmtId="0" fontId="461" fillId="8" borderId="6" xfId="0" applyFill="true" applyFont="true" applyBorder="true">
      <alignment horizontal="left" vertical="top" indent="1" wrapText="false"/>
    </xf>
    <xf numFmtId="0" fontId="462" fillId="8" borderId="6" xfId="0" applyFill="true" applyFont="true" applyBorder="true">
      <alignment horizontal="left" vertical="top" indent="1" wrapText="false"/>
    </xf>
    <xf numFmtId="0" fontId="463" fillId="8" borderId="6" xfId="0" applyFill="true" applyFont="true" applyBorder="true">
      <alignment horizontal="left" vertical="top" indent="1" wrapText="false"/>
    </xf>
    <xf numFmtId="0" fontId="464" fillId="8" borderId="6" xfId="0" applyFill="true" applyFont="true" applyBorder="true">
      <alignment horizontal="left" vertical="top" indent="1" wrapText="false"/>
    </xf>
    <xf numFmtId="0" fontId="465" fillId="8" borderId="6" xfId="0" applyFill="true" applyFont="true" applyBorder="true">
      <alignment horizontal="left" vertical="top" indent="1" wrapText="false"/>
    </xf>
    <xf numFmtId="0" fontId="466" fillId="8" borderId="6" xfId="0" applyFill="true" applyFont="true" applyBorder="true">
      <alignment horizontal="left" vertical="top" indent="1" wrapText="false"/>
    </xf>
    <xf numFmtId="0" fontId="467" fillId="8" borderId="6" xfId="0" applyFill="true" applyFont="true" applyBorder="true">
      <alignment horizontal="left" vertical="top" indent="1" wrapText="false"/>
    </xf>
    <xf numFmtId="0" fontId="468" fillId="8" borderId="6" xfId="0" applyFill="true" applyFont="true" applyBorder="true">
      <alignment horizontal="left" vertical="top" indent="1" wrapText="false"/>
    </xf>
    <xf numFmtId="0" fontId="469" fillId="8" borderId="6" xfId="0" applyFill="true" applyFont="true" applyBorder="true">
      <alignment horizontal="left" vertical="top" indent="1" wrapText="false"/>
    </xf>
    <xf numFmtId="168" fontId="470" fillId="8" borderId="6" xfId="0" applyFill="true" applyFont="true" applyBorder="true" applyNumberFormat="true">
      <alignment horizontal="right" vertical="top" indent="1" wrapText="false"/>
    </xf>
    <xf numFmtId="165" fontId="471" fillId="8" borderId="6" xfId="0" applyFill="true" applyFont="true" applyBorder="true" applyNumberFormat="true">
      <alignment horizontal="right" vertical="top" indent="1" wrapText="false"/>
    </xf>
    <xf numFmtId="0" fontId="472" fillId="8" borderId="6" xfId="0" applyFill="true" applyFont="true" applyBorder="true">
      <alignment horizontal="left" vertical="top" indent="1" wrapText="false"/>
    </xf>
    <xf numFmtId="165" fontId="473" fillId="8" borderId="6" xfId="0" applyFill="true" applyFont="true" applyBorder="true" applyNumberFormat="true">
      <alignment horizontal="right" vertical="top" indent="1" wrapText="false"/>
    </xf>
    <xf numFmtId="0" fontId="474" fillId="8" borderId="6" xfId="0" applyFill="true" applyFont="true" applyBorder="true">
      <alignment horizontal="left" vertical="top" indent="1" wrapText="false"/>
    </xf>
    <xf numFmtId="0" fontId="475" fillId="8" borderId="6" xfId="0" applyFill="true" applyFont="true" applyBorder="true">
      <alignment horizontal="left" vertical="top" indent="1" wrapText="false"/>
    </xf>
    <xf numFmtId="0" fontId="476" fillId="8" borderId="6" xfId="0" applyFill="true" applyFont="true" applyBorder="true">
      <alignment horizontal="left" vertical="top" indent="1" wrapText="false"/>
    </xf>
    <xf numFmtId="0" fontId="477" fillId="8" borderId="6" xfId="0" applyFill="true" applyFont="true" applyBorder="true">
      <alignment horizontal="left" vertical="top" indent="1" wrapText="false"/>
    </xf>
    <xf numFmtId="0" fontId="478" fillId="8" borderId="6" xfId="0" applyFill="true" applyFont="true" applyBorder="true">
      <alignment horizontal="left" vertical="top" indent="1" wrapText="false"/>
    </xf>
    <xf numFmtId="0" fontId="479" fillId="8" borderId="6" xfId="0" applyFill="true" applyFont="true" applyBorder="true">
      <alignment horizontal="left" vertical="top" indent="1" wrapText="false"/>
    </xf>
    <xf numFmtId="0" fontId="480" fillId="8" borderId="6" xfId="0" applyFill="true" applyFont="true" applyBorder="true">
      <alignment horizontal="left" vertical="top" indent="1" wrapText="false"/>
    </xf>
    <xf numFmtId="0" fontId="481" fillId="8" borderId="6" xfId="0" applyFill="true" applyFont="true" applyBorder="true">
      <alignment horizontal="left" vertical="top" indent="1" wrapText="false"/>
    </xf>
    <xf numFmtId="0" fontId="482" fillId="8" borderId="6" xfId="0" applyFill="true" applyFont="true" applyBorder="true">
      <alignment horizontal="left" vertical="top" indent="1" wrapText="false"/>
    </xf>
    <xf numFmtId="169" fontId="483" fillId="8" borderId="6" xfId="0" applyFill="true" applyFont="true" applyBorder="true" applyNumberFormat="true">
      <alignment horizontal="right" vertical="top" indent="1" wrapText="false"/>
    </xf>
    <xf numFmtId="170" fontId="484" fillId="8" borderId="6" xfId="0" applyFill="true" applyFont="true" applyBorder="true" applyNumberFormat="true">
      <alignment horizontal="right" vertical="top" indent="1" wrapText="false"/>
    </xf>
    <xf numFmtId="169" fontId="485" fillId="8" borderId="6" xfId="0" applyFill="true" applyFont="true" applyBorder="true" applyNumberFormat="true">
      <alignment horizontal="right" vertical="top" indent="1" wrapText="false"/>
    </xf>
    <xf numFmtId="169" fontId="486" fillId="8" borderId="6" xfId="0" applyFill="true" applyFont="true" applyBorder="true" applyNumberFormat="true">
      <alignment horizontal="right" vertical="top" indent="1" wrapText="false"/>
    </xf>
    <xf numFmtId="169" fontId="487" fillId="8" borderId="6" xfId="0" applyFill="true" applyFont="true" applyBorder="true" applyNumberFormat="true">
      <alignment horizontal="right" vertical="top" indent="1" wrapText="false"/>
    </xf>
    <xf numFmtId="170" fontId="488" fillId="8" borderId="6" xfId="0" applyFill="true" applyFont="true" applyBorder="true" applyNumberFormat="true">
      <alignment horizontal="right" vertical="top" indent="1" wrapText="false"/>
    </xf>
    <xf numFmtId="169" fontId="489" fillId="8" borderId="6" xfId="0" applyFill="true" applyFont="true" applyBorder="true" applyNumberFormat="true">
      <alignment horizontal="right" vertical="top" indent="1" wrapText="false"/>
    </xf>
    <xf numFmtId="170" fontId="490" fillId="8" borderId="6" xfId="0" applyFill="true" applyFont="true" applyBorder="true" applyNumberFormat="true">
      <alignment horizontal="right" vertical="top" indent="1" wrapText="false"/>
    </xf>
    <xf numFmtId="169" fontId="491" fillId="8" borderId="6" xfId="0" applyFill="true" applyFont="true" applyBorder="true" applyNumberFormat="true">
      <alignment horizontal="right" vertical="top" indent="1" wrapText="false"/>
    </xf>
    <xf numFmtId="170" fontId="492" fillId="8" borderId="6" xfId="0" applyFill="true" applyFont="true" applyBorder="true" applyNumberFormat="true">
      <alignment horizontal="right" vertical="top" indent="1" wrapText="false"/>
    </xf>
    <xf numFmtId="169" fontId="493" fillId="8" borderId="6" xfId="0" applyFill="true" applyFont="true" applyBorder="true" applyNumberFormat="true">
      <alignment horizontal="right" vertical="top" indent="1" wrapText="false"/>
    </xf>
    <xf numFmtId="170" fontId="494" fillId="8" borderId="6" xfId="0" applyFill="true" applyFont="true" applyBorder="true" applyNumberFormat="true">
      <alignment horizontal="right" vertical="top" indent="1" wrapText="false"/>
    </xf>
    <xf numFmtId="169" fontId="495" fillId="8" borderId="6" xfId="0" applyFill="true" applyFont="true" applyBorder="true" applyNumberFormat="true">
      <alignment horizontal="right" vertical="top" indent="1" wrapText="false"/>
    </xf>
    <xf numFmtId="170" fontId="496" fillId="8" borderId="6" xfId="0" applyFill="true" applyFont="true" applyBorder="true" applyNumberFormat="true">
      <alignment horizontal="right" vertical="top" indent="1" wrapText="false"/>
    </xf>
    <xf numFmtId="169" fontId="497" fillId="8" borderId="6" xfId="0" applyFill="true" applyFont="true" applyBorder="true" applyNumberFormat="true">
      <alignment horizontal="right" vertical="top" indent="1" wrapText="false"/>
    </xf>
    <xf numFmtId="170" fontId="498" fillId="8" borderId="6" xfId="0" applyFill="true" applyFont="true" applyBorder="true" applyNumberFormat="true">
      <alignment horizontal="right" vertical="top" indent="1" wrapText="false"/>
    </xf>
    <xf numFmtId="171" fontId="499" fillId="8" borderId="6" xfId="0" applyFill="true" applyFont="true" applyBorder="true" applyNumberFormat="true">
      <alignment horizontal="right" vertical="top" indent="1" wrapText="false"/>
    </xf>
    <xf numFmtId="170" fontId="500" fillId="8" borderId="6" xfId="0" applyFill="true" applyFont="true" applyBorder="true" applyNumberFormat="true">
      <alignment horizontal="right" vertical="top" indent="1" wrapText="false"/>
    </xf>
    <xf numFmtId="171" fontId="501" fillId="8" borderId="6" xfId="0" applyFill="true" applyFont="true" applyBorder="true" applyNumberFormat="true">
      <alignment horizontal="right" vertical="top" indent="1" wrapText="false"/>
    </xf>
    <xf numFmtId="169" fontId="502" fillId="8" borderId="6" xfId="0" applyFill="true" applyFont="true" applyBorder="true" applyNumberFormat="true">
      <alignment horizontal="right" vertical="top" indent="1" wrapText="false"/>
    </xf>
    <xf numFmtId="171" fontId="503" fillId="8" borderId="6" xfId="0" applyFill="true" applyFont="true" applyBorder="true" applyNumberFormat="true">
      <alignment horizontal="right" vertical="top" indent="1" wrapText="false"/>
    </xf>
    <xf numFmtId="170" fontId="504" fillId="8" borderId="6" xfId="0" applyFill="true" applyFont="true" applyBorder="true" applyNumberFormat="true">
      <alignment horizontal="right" vertical="top" indent="1" wrapText="false"/>
    </xf>
    <xf numFmtId="171" fontId="505" fillId="8" borderId="6" xfId="0" applyFill="true" applyFont="true" applyBorder="true" applyNumberFormat="true">
      <alignment horizontal="right" vertical="top" indent="1" wrapText="false"/>
    </xf>
    <xf numFmtId="170" fontId="506" fillId="8" borderId="6" xfId="0" applyFill="true" applyFont="true" applyBorder="true" applyNumberFormat="true">
      <alignment horizontal="right" vertical="top" indent="1" wrapText="false"/>
    </xf>
    <xf numFmtId="171" fontId="507" fillId="8" borderId="6" xfId="0" applyFill="true" applyFont="true" applyBorder="true" applyNumberFormat="true">
      <alignment horizontal="right" vertical="top" indent="1" wrapText="false"/>
    </xf>
    <xf numFmtId="170" fontId="508" fillId="8" borderId="6" xfId="0" applyFill="true" applyFont="true" applyBorder="true" applyNumberFormat="true">
      <alignment horizontal="right" vertical="top" indent="1" wrapText="false"/>
    </xf>
    <xf numFmtId="171" fontId="509" fillId="8" borderId="6" xfId="0" applyFill="true" applyFont="true" applyBorder="true" applyNumberFormat="true">
      <alignment horizontal="right" vertical="top" indent="1" wrapText="false"/>
    </xf>
    <xf numFmtId="170" fontId="510" fillId="8" borderId="6" xfId="0" applyFill="true" applyFont="true" applyBorder="true" applyNumberFormat="true">
      <alignment horizontal="right" vertical="top" indent="1" wrapText="false"/>
    </xf>
    <xf numFmtId="171" fontId="511" fillId="8" borderId="6" xfId="0" applyFill="true" applyFont="true" applyBorder="true" applyNumberFormat="true">
      <alignment horizontal="right" vertical="top" indent="1" wrapText="false"/>
    </xf>
    <xf numFmtId="170" fontId="512" fillId="8" borderId="6" xfId="0" applyFill="true" applyFont="true" applyBorder="true" applyNumberFormat="true">
      <alignment horizontal="right" vertical="top" indent="1" wrapText="false"/>
    </xf>
    <xf numFmtId="171" fontId="513" fillId="8" borderId="6" xfId="0" applyFill="true" applyFont="true" applyBorder="true" applyNumberFormat="true">
      <alignment horizontal="right" vertical="top" indent="1" wrapText="false"/>
    </xf>
    <xf numFmtId="170" fontId="514" fillId="8" borderId="6" xfId="0" applyFill="true" applyFont="true" applyBorder="true" applyNumberFormat="true">
      <alignment horizontal="right" vertical="top" indent="1" wrapText="false"/>
    </xf>
    <xf numFmtId="170" fontId="515" fillId="8" borderId="6" xfId="0" applyFill="true" applyFont="true" applyBorder="true" applyNumberFormat="true">
      <alignment horizontal="right" vertical="top" indent="1" wrapText="false"/>
    </xf>
    <xf numFmtId="170" fontId="516" fillId="8" borderId="6" xfId="0" applyFill="true" applyFont="true" applyBorder="true" applyNumberFormat="true">
      <alignment horizontal="right" vertical="top" indent="1" wrapText="false"/>
    </xf>
    <xf numFmtId="169" fontId="517" fillId="8" borderId="6" xfId="0" applyFill="true" applyFont="true" applyBorder="true" applyNumberFormat="true">
      <alignment horizontal="right" vertical="top" indent="1" wrapText="false"/>
    </xf>
    <xf numFmtId="170" fontId="518" fillId="8" borderId="6" xfId="0" applyFill="true" applyFont="true" applyBorder="true" applyNumberFormat="true">
      <alignment horizontal="right" vertical="top" indent="1" wrapText="false"/>
    </xf>
    <xf numFmtId="170" fontId="519" fillId="8" borderId="6" xfId="0" applyFill="true" applyFont="true" applyBorder="true" applyNumberFormat="true">
      <alignment horizontal="right" vertical="top" indent="1" wrapText="false"/>
    </xf>
    <xf numFmtId="169" fontId="520" fillId="8" borderId="6" xfId="0" applyFill="true" applyFont="true" applyBorder="true" applyNumberFormat="true">
      <alignment horizontal="right" vertical="top" indent="1" wrapText="false"/>
    </xf>
    <xf numFmtId="170" fontId="521" fillId="8" borderId="6" xfId="0" applyFill="true" applyFont="true" applyBorder="true" applyNumberFormat="true">
      <alignment horizontal="right" vertical="top" indent="1" wrapText="false"/>
    </xf>
    <xf numFmtId="170" fontId="522" fillId="8" borderId="6" xfId="0" applyFill="true" applyFont="true" applyBorder="true" applyNumberFormat="true">
      <alignment horizontal="right" vertical="top" indent="1" wrapText="false"/>
    </xf>
    <xf numFmtId="169" fontId="523" fillId="8" borderId="6" xfId="0" applyFill="true" applyFont="true" applyBorder="true" applyNumberFormat="true">
      <alignment horizontal="right" vertical="top" indent="1" wrapText="false"/>
    </xf>
    <xf numFmtId="170" fontId="524" fillId="8" borderId="6" xfId="0" applyFill="true" applyFont="true" applyBorder="true" applyNumberFormat="true">
      <alignment horizontal="right" vertical="top" indent="1" wrapText="false"/>
    </xf>
    <xf numFmtId="170" fontId="525" fillId="8" borderId="6" xfId="0" applyFill="true" applyFont="true" applyBorder="true" applyNumberFormat="true">
      <alignment horizontal="right" vertical="top" indent="1" wrapText="false"/>
    </xf>
    <xf numFmtId="169" fontId="526" fillId="8" borderId="6" xfId="0" applyFill="true" applyFont="true" applyBorder="true" applyNumberFormat="true">
      <alignment horizontal="right" vertical="top" indent="1" wrapText="false"/>
    </xf>
    <xf numFmtId="0" fontId="527" fillId="8" borderId="6" xfId="0" applyFill="true" applyFont="true" applyBorder="true">
      <alignment horizontal="right" vertical="top" indent="1" wrapText="false"/>
    </xf>
    <xf numFmtId="0" fontId="528" fillId="8" borderId="6" xfId="0" applyFill="true" applyFont="true" applyBorder="true">
      <alignment horizontal="general" vertical="top" indent="1" wrapText="false"/>
    </xf>
    <xf numFmtId="0" fontId="529" fillId="6" borderId="6" xfId="0" applyFill="true" applyFont="true" applyBorder="true">
      <alignment horizontal="left" vertical="top" indent="1" wrapText="false"/>
    </xf>
    <xf numFmtId="0" fontId="530" fillId="8" borderId="6" xfId="0" applyFill="true" applyFont="true" applyBorder="true">
      <alignment horizontal="left" vertical="top" indent="1" wrapText="false"/>
    </xf>
    <xf numFmtId="0" fontId="531" fillId="6" borderId="6" xfId="0" applyFill="true" applyFont="true" applyBorder="true">
      <alignment horizontal="left" vertical="top" indent="1" wrapText="false"/>
    </xf>
    <xf numFmtId="0" fontId="532" fillId="8" borderId="6" xfId="0" applyFill="true" applyFont="true" applyBorder="true">
      <alignment horizontal="left" vertical="top" indent="1" wrapText="false"/>
    </xf>
    <xf numFmtId="0" fontId="533" fillId="6" borderId="6" xfId="0" applyFill="true" applyFont="true" applyBorder="true">
      <alignment horizontal="left" vertical="top" indent="1" wrapText="false"/>
    </xf>
    <xf numFmtId="0" fontId="534" fillId="8" borderId="6" xfId="0" applyFill="true" applyFont="true" applyBorder="true">
      <alignment horizontal="left" vertical="top" indent="1" wrapText="false"/>
    </xf>
    <xf numFmtId="0" fontId="535" fillId="6" borderId="6" xfId="0" applyFill="true" applyFont="true" applyBorder="true">
      <alignment horizontal="left" vertical="top" indent="1" wrapText="false"/>
    </xf>
    <xf numFmtId="0" fontId="536" fillId="8" borderId="6" xfId="0" applyFill="true" applyFont="true" applyBorder="true">
      <alignment horizontal="left" vertical="top" indent="1" wrapText="false"/>
    </xf>
    <xf numFmtId="0" fontId="537" fillId="6" borderId="6" xfId="0" applyFill="true" applyFont="true" applyBorder="true">
      <alignment horizontal="left" vertical="top" indent="1" wrapText="false"/>
    </xf>
    <xf numFmtId="0" fontId="538" fillId="8" borderId="6" xfId="0" applyFill="true" applyFont="true" applyBorder="true">
      <alignment horizontal="left" vertical="top" indent="1" wrapText="false"/>
    </xf>
    <xf numFmtId="0" fontId="539" fillId="6" borderId="6" xfId="0" applyFill="true" applyFont="true" applyBorder="true">
      <alignment horizontal="left" vertical="top" indent="1" wrapText="false"/>
    </xf>
    <xf numFmtId="0" fontId="540" fillId="8" borderId="6" xfId="0" applyFill="true" applyFont="true" applyBorder="true">
      <alignment horizontal="left" vertical="top" indent="1" wrapText="false"/>
    </xf>
    <xf numFmtId="0" fontId="541" fillId="6" borderId="6" xfId="0" applyFill="true" applyFont="true" applyBorder="true">
      <alignment horizontal="left" vertical="top" indent="1" wrapText="false"/>
    </xf>
    <xf numFmtId="0" fontId="542" fillId="8" borderId="6" xfId="0" applyFill="true" applyFont="true" applyBorder="true">
      <alignment horizontal="left" vertical="top" indent="1" wrapText="false"/>
    </xf>
    <xf numFmtId="0" fontId="543" fillId="6" borderId="6" xfId="0" applyFill="true" applyFont="true" applyBorder="true">
      <alignment horizontal="left" vertical="top" indent="1" wrapText="false"/>
    </xf>
    <xf numFmtId="0" fontId="544" fillId="8" borderId="6" xfId="0" applyFill="true" applyFont="true" applyBorder="true">
      <alignment horizontal="left" vertical="top" indent="1" wrapText="false"/>
    </xf>
    <xf numFmtId="0" fontId="545" fillId="6" borderId="6" xfId="0" applyFill="true" applyFont="true" applyBorder="true">
      <alignment horizontal="left" vertical="top" indent="1" wrapText="false"/>
    </xf>
    <xf numFmtId="0" fontId="546" fillId="8" borderId="6" xfId="0" applyFill="true" applyFont="true" applyBorder="true">
      <alignment horizontal="left" vertical="top" indent="1" wrapText="false"/>
    </xf>
    <xf numFmtId="0" fontId="547" fillId="6" borderId="6" xfId="0" applyFill="true" applyFont="true" applyBorder="true">
      <alignment horizontal="left" vertical="top" indent="1" wrapText="false"/>
    </xf>
    <xf numFmtId="0" fontId="548" fillId="8" borderId="6" xfId="0" applyFill="true" applyFont="true" applyBorder="true">
      <alignment horizontal="left" vertical="top" indent="1" wrapText="false"/>
    </xf>
    <xf numFmtId="0" fontId="549" fillId="6" borderId="6" xfId="0" applyFill="true" applyFont="true" applyBorder="true">
      <alignment horizontal="left" vertical="top" indent="1" wrapText="false"/>
    </xf>
    <xf numFmtId="0" fontId="550" fillId="8" borderId="6" xfId="0" applyFill="true" applyFont="true" applyBorder="true">
      <alignment horizontal="left" vertical="top" indent="1" wrapText="false"/>
    </xf>
    <xf numFmtId="0" fontId="551" fillId="6" borderId="6" xfId="0" applyFill="true" applyFont="true" applyBorder="true">
      <alignment horizontal="left" vertical="top" indent="1" wrapText="false"/>
    </xf>
    <xf numFmtId="0" fontId="552" fillId="8" borderId="6" xfId="0" applyFill="true" applyFont="true" applyBorder="true">
      <alignment horizontal="left" vertical="top" indent="1" wrapText="false"/>
    </xf>
    <xf numFmtId="165" fontId="553" fillId="6" borderId="6" xfId="0" applyFill="true" applyFont="true" applyBorder="true" applyNumberFormat="true">
      <alignment horizontal="left" vertical="top" indent="1" wrapText="false"/>
    </xf>
    <xf numFmtId="165" fontId="554" fillId="8" borderId="6" xfId="0" applyFill="true" applyFont="true" applyBorder="true" applyNumberFormat="true">
      <alignment horizontal="left" vertical="top" indent="1" wrapText="false"/>
    </xf>
    <xf numFmtId="0" fontId="555" fillId="6" borderId="6" xfId="0" applyFill="true" applyFont="true" applyBorder="true">
      <alignment horizontal="left" vertical="top" indent="1" wrapText="false"/>
    </xf>
    <xf numFmtId="0" fontId="556" fillId="8" borderId="6" xfId="0" applyFill="true" applyFont="true" applyBorder="true">
      <alignment horizontal="left" vertical="top" indent="1" wrapText="false"/>
    </xf>
    <xf numFmtId="0" fontId="557" fillId="6" borderId="6" xfId="0" applyFill="true" applyFont="true" applyBorder="true">
      <alignment horizontal="left" vertical="top" indent="1" wrapText="false"/>
    </xf>
    <xf numFmtId="0" fontId="558" fillId="8" borderId="6" xfId="0" applyFill="true" applyFont="true" applyBorder="true">
      <alignment horizontal="left" vertical="top" indent="1" wrapText="false"/>
    </xf>
    <xf numFmtId="0" fontId="559" fillId="6" borderId="6" xfId="0" applyFill="true" applyFont="true" applyBorder="true">
      <alignment horizontal="left" vertical="top" indent="1" wrapText="false"/>
    </xf>
    <xf numFmtId="0" fontId="560" fillId="8" borderId="6" xfId="0" applyFill="true" applyFont="true" applyBorder="true">
      <alignment horizontal="left" vertical="top" indent="1" wrapText="false"/>
    </xf>
    <xf numFmtId="0" fontId="561" fillId="6" borderId="6" xfId="0" applyFill="true" applyFont="true" applyBorder="true">
      <alignment horizontal="left" vertical="top" indent="1" wrapText="false"/>
    </xf>
    <xf numFmtId="0" fontId="562" fillId="8" borderId="6" xfId="0" applyFill="true" applyFont="true" applyBorder="true">
      <alignment horizontal="left" vertical="top" indent="1" wrapText="false"/>
    </xf>
    <xf numFmtId="166" fontId="563" fillId="6" borderId="6" xfId="0" applyFill="true" applyFont="true" applyBorder="true" applyNumberFormat="true">
      <alignment horizontal="left" vertical="top" indent="1" wrapText="false"/>
    </xf>
    <xf numFmtId="166" fontId="564" fillId="8" borderId="6" xfId="0" applyFill="true" applyFont="true" applyBorder="true" applyNumberFormat="true">
      <alignment horizontal="left" vertical="top" indent="1" wrapText="false"/>
    </xf>
    <xf numFmtId="0" fontId="565" fillId="6" borderId="6" xfId="0" applyFill="true" applyFont="true" applyBorder="true">
      <alignment horizontal="left" vertical="top" indent="1" wrapText="false"/>
    </xf>
    <xf numFmtId="0" fontId="566" fillId="8" borderId="6" xfId="0" applyFill="true" applyFont="true" applyBorder="true">
      <alignment horizontal="left" vertical="top" indent="1" wrapText="false"/>
    </xf>
    <xf numFmtId="0" fontId="567" fillId="6" borderId="6" xfId="0" applyFill="true" applyFont="true" applyBorder="true">
      <alignment horizontal="left" vertical="top" indent="1" wrapText="false"/>
    </xf>
    <xf numFmtId="0" fontId="568" fillId="8" borderId="6" xfId="0" applyFill="true" applyFont="true" applyBorder="true">
      <alignment horizontal="left" vertical="top" indent="1" wrapText="false"/>
    </xf>
    <xf numFmtId="167" fontId="569" fillId="6" borderId="6" xfId="0" applyFill="true" applyFont="true" applyBorder="true" applyNumberFormat="true">
      <alignment horizontal="left" vertical="top" indent="1" wrapText="false"/>
    </xf>
    <xf numFmtId="167" fontId="570" fillId="8" borderId="6" xfId="0" applyFill="true" applyFont="true" applyBorder="true" applyNumberFormat="true">
      <alignment horizontal="left" vertical="top" indent="1" wrapText="false"/>
    </xf>
    <xf numFmtId="0" fontId="571" fillId="6" borderId="6" xfId="0" applyFill="true" applyFont="true" applyBorder="true">
      <alignment horizontal="left" vertical="top" indent="1" wrapText="false"/>
    </xf>
    <xf numFmtId="0" fontId="572" fillId="8" borderId="6" xfId="0" applyFill="true" applyFont="true" applyBorder="true">
      <alignment horizontal="left" vertical="top" indent="1" wrapText="false"/>
    </xf>
    <xf numFmtId="0" fontId="573" fillId="6" borderId="6" xfId="0" applyFill="true" applyFont="true" applyBorder="true">
      <alignment horizontal="left" vertical="top" indent="1" wrapText="true"/>
    </xf>
    <xf numFmtId="0" fontId="574" fillId="8" borderId="6" xfId="0" applyFill="true" applyFont="true" applyBorder="true">
      <alignment horizontal="left" vertical="top" indent="1" wrapText="true"/>
    </xf>
    <xf numFmtId="0" fontId="575" fillId="6" borderId="6" xfId="0" applyFill="true" applyFont="true" applyBorder="true">
      <alignment horizontal="left" vertical="top" indent="1" wrapText="true"/>
    </xf>
    <xf numFmtId="0" fontId="576" fillId="8" borderId="6" xfId="0" applyFill="true" applyFont="true" applyBorder="true">
      <alignment horizontal="left" vertical="top" indent="1" wrapText="true"/>
    </xf>
    <xf numFmtId="165" fontId="577" fillId="6" borderId="6" xfId="0" applyFill="true" applyFont="true" applyBorder="true" applyNumberFormat="true">
      <alignment horizontal="left" vertical="top" indent="1" wrapText="false"/>
    </xf>
    <xf numFmtId="165" fontId="578" fillId="8" borderId="6" xfId="0" applyFill="true" applyFont="true" applyBorder="true" applyNumberFormat="true">
      <alignment horizontal="left" vertical="top" indent="1" wrapText="false"/>
    </xf>
    <xf numFmtId="165" fontId="579" fillId="6" borderId="6" xfId="0" applyFill="true" applyFont="true" applyBorder="true" applyNumberFormat="true">
      <alignment horizontal="left" vertical="top" indent="1" wrapText="false"/>
    </xf>
    <xf numFmtId="165" fontId="580" fillId="8" borderId="6" xfId="0" applyFill="true" applyFont="true" applyBorder="true" applyNumberFormat="true">
      <alignment horizontal="left" vertical="top" indent="1" wrapText="false"/>
    </xf>
    <xf numFmtId="165" fontId="581" fillId="6" borderId="6" xfId="0" applyFill="true" applyFont="true" applyBorder="true" applyNumberFormat="true">
      <alignment horizontal="left" vertical="top" indent="1" wrapText="false"/>
    </xf>
    <xf numFmtId="165" fontId="582" fillId="8" borderId="6" xfId="0" applyFill="true" applyFont="true" applyBorder="true" applyNumberFormat="true">
      <alignment horizontal="left" vertical="top" indent="1" wrapText="false"/>
    </xf>
    <xf numFmtId="165" fontId="583" fillId="6" borderId="6" xfId="0" applyFill="true" applyFont="true" applyBorder="true" applyNumberFormat="true">
      <alignment horizontal="left" vertical="top" indent="1" wrapText="false"/>
    </xf>
    <xf numFmtId="165" fontId="584" fillId="8" borderId="6" xfId="0" applyFill="true" applyFont="true" applyBorder="true" applyNumberFormat="true">
      <alignment horizontal="left" vertical="top" indent="1" wrapText="false"/>
    </xf>
    <xf numFmtId="165" fontId="585" fillId="6" borderId="6" xfId="0" applyFill="true" applyFont="true" applyBorder="true" applyNumberFormat="true">
      <alignment horizontal="left" vertical="top" indent="1" wrapText="false"/>
    </xf>
    <xf numFmtId="165" fontId="586" fillId="8" borderId="6" xfId="0" applyFill="true" applyFont="true" applyBorder="true" applyNumberFormat="true">
      <alignment horizontal="left" vertical="top" indent="1" wrapText="false"/>
    </xf>
    <xf numFmtId="0" fontId="587" fillId="6" borderId="6" xfId="0" applyFill="true" applyFont="true" applyBorder="true">
      <alignment horizontal="left" vertical="top" indent="1" wrapText="false"/>
    </xf>
    <xf numFmtId="0" fontId="588" fillId="8" borderId="6" xfId="0" applyFill="true" applyFont="true" applyBorder="true">
      <alignment horizontal="left" vertical="top" indent="1" wrapText="false"/>
    </xf>
    <xf numFmtId="0" fontId="589" fillId="6" borderId="6" xfId="0" applyFill="true" applyFont="true" applyBorder="true">
      <alignment horizontal="left" vertical="top" indent="1" wrapText="false"/>
    </xf>
    <xf numFmtId="0" fontId="590" fillId="8" borderId="6" xfId="0" applyFill="true" applyFont="true" applyBorder="true">
      <alignment horizontal="left" vertical="top" indent="1" wrapText="false"/>
    </xf>
    <xf numFmtId="0" fontId="591" fillId="6" borderId="6" xfId="0" applyFill="true" applyFont="true" applyBorder="true">
      <alignment horizontal="left" vertical="top" indent="1" wrapText="false"/>
    </xf>
    <xf numFmtId="0" fontId="592" fillId="8" borderId="6" xfId="0" applyFill="true" applyFont="true" applyBorder="true">
      <alignment horizontal="left" vertical="top" indent="1" wrapText="false"/>
    </xf>
    <xf numFmtId="0" fontId="593" fillId="6" borderId="6" xfId="0" applyFill="true" applyFont="true" applyBorder="true">
      <alignment horizontal="left" vertical="top" indent="1" wrapText="false"/>
    </xf>
    <xf numFmtId="0" fontId="594" fillId="8" borderId="6" xfId="0" applyFill="true" applyFont="true" applyBorder="true">
      <alignment horizontal="left" vertical="top" indent="1" wrapText="false"/>
    </xf>
    <xf numFmtId="0" fontId="595" fillId="6" borderId="6" xfId="0" applyFill="true" applyFont="true" applyBorder="true">
      <alignment horizontal="left" vertical="top" indent="1" wrapText="false"/>
    </xf>
    <xf numFmtId="0" fontId="596" fillId="8" borderId="6" xfId="0" applyFill="true" applyFont="true" applyBorder="true">
      <alignment horizontal="left" vertical="top" indent="1" wrapText="false"/>
    </xf>
    <xf numFmtId="0" fontId="597" fillId="6" borderId="6" xfId="0" applyFill="true" applyFont="true" applyBorder="true">
      <alignment horizontal="left" vertical="top" indent="1" wrapText="false"/>
    </xf>
    <xf numFmtId="0" fontId="598" fillId="8" borderId="6" xfId="0" applyFill="true" applyFont="true" applyBorder="true">
      <alignment horizontal="left" vertical="top" indent="1" wrapText="false"/>
    </xf>
    <xf numFmtId="0" fontId="599" fillId="6" borderId="6" xfId="0" applyFill="true" applyFont="true" applyBorder="true">
      <alignment horizontal="left" vertical="top" indent="1" wrapText="false"/>
    </xf>
    <xf numFmtId="0" fontId="600" fillId="8" borderId="6" xfId="0" applyFill="true" applyFont="true" applyBorder="true">
      <alignment horizontal="left" vertical="top" indent="1" wrapText="false"/>
    </xf>
    <xf numFmtId="0" fontId="601" fillId="6" borderId="6" xfId="0" applyFill="true" applyFont="true" applyBorder="true">
      <alignment horizontal="left" vertical="top" indent="1" wrapText="false"/>
    </xf>
    <xf numFmtId="0" fontId="602" fillId="8" borderId="6" xfId="0" applyFill="true" applyFont="true" applyBorder="true">
      <alignment horizontal="left" vertical="top" indent="1" wrapText="false"/>
    </xf>
    <xf numFmtId="0" fontId="603" fillId="6" borderId="6" xfId="0" applyFill="true" applyFont="true" applyBorder="true">
      <alignment horizontal="left" vertical="top" indent="1" wrapText="false"/>
    </xf>
    <xf numFmtId="0" fontId="604" fillId="8" borderId="6" xfId="0" applyFill="true" applyFont="true" applyBorder="true">
      <alignment horizontal="left" vertical="top" indent="1" wrapText="false"/>
    </xf>
    <xf numFmtId="0" fontId="605" fillId="6" borderId="6" xfId="0" applyFill="true" applyFont="true" applyBorder="true">
      <alignment horizontal="left" vertical="top" indent="1" wrapText="false"/>
    </xf>
    <xf numFmtId="0" fontId="606" fillId="8" borderId="6" xfId="0" applyFill="true" applyFont="true" applyBorder="true">
      <alignment horizontal="left" vertical="top" indent="1" wrapText="false"/>
    </xf>
    <xf numFmtId="0" fontId="607" fillId="6" borderId="6" xfId="0" applyFill="true" applyFont="true" applyBorder="true">
      <alignment horizontal="left" vertical="top" indent="1" wrapText="false"/>
    </xf>
    <xf numFmtId="0" fontId="608" fillId="8" borderId="6" xfId="0" applyFill="true" applyFont="true" applyBorder="true">
      <alignment horizontal="left" vertical="top" indent="1" wrapText="false"/>
    </xf>
    <xf numFmtId="0" fontId="609" fillId="6" borderId="6" xfId="0" applyFill="true" applyFont="true" applyBorder="true">
      <alignment horizontal="left" vertical="top" indent="1" wrapText="false"/>
    </xf>
    <xf numFmtId="0" fontId="610" fillId="8" borderId="6" xfId="0" applyFill="true" applyFont="true" applyBorder="true">
      <alignment horizontal="left" vertical="top" indent="1" wrapText="false"/>
    </xf>
    <xf numFmtId="0" fontId="611" fillId="6" borderId="6" xfId="0" applyFill="true" applyFont="true" applyBorder="true">
      <alignment horizontal="left" vertical="top" indent="1" wrapText="false"/>
    </xf>
    <xf numFmtId="0" fontId="612" fillId="8" borderId="6" xfId="0" applyFill="true" applyFont="true" applyBorder="true">
      <alignment horizontal="left" vertical="top" indent="1" wrapText="false"/>
    </xf>
    <xf numFmtId="0" fontId="613" fillId="6" borderId="6" xfId="0" applyFill="true" applyFont="true" applyBorder="true">
      <alignment horizontal="left" vertical="top" indent="1" wrapText="false"/>
    </xf>
    <xf numFmtId="0" fontId="614" fillId="8" borderId="6" xfId="0" applyFill="true" applyFont="true" applyBorder="true">
      <alignment horizontal="left" vertical="top" indent="1" wrapText="false"/>
    </xf>
    <xf numFmtId="0" fontId="615" fillId="6" borderId="6" xfId="0" applyFill="true" applyFont="true" applyBorder="true">
      <alignment horizontal="left" vertical="top" indent="1" wrapText="false"/>
    </xf>
    <xf numFmtId="0" fontId="616" fillId="8" borderId="6" xfId="0" applyFill="true" applyFont="true" applyBorder="true">
      <alignment horizontal="left" vertical="top" indent="1" wrapText="false"/>
    </xf>
    <xf numFmtId="0" fontId="617" fillId="6" borderId="6" xfId="0" applyFill="true" applyFont="true" applyBorder="true">
      <alignment horizontal="left" vertical="top" indent="1" wrapText="false"/>
    </xf>
    <xf numFmtId="0" fontId="618" fillId="8" borderId="6" xfId="0" applyFill="true" applyFont="true" applyBorder="true">
      <alignment horizontal="left" vertical="top" indent="1" wrapText="false"/>
    </xf>
    <xf numFmtId="0" fontId="619" fillId="6" borderId="6" xfId="0" applyFill="true" applyFont="true" applyBorder="true">
      <alignment horizontal="left" vertical="top" indent="1" wrapText="false"/>
    </xf>
    <xf numFmtId="0" fontId="620" fillId="8" borderId="6" xfId="0" applyFill="true" applyFont="true" applyBorder="true">
      <alignment horizontal="left" vertical="top" indent="1" wrapText="false"/>
    </xf>
    <xf numFmtId="0" fontId="621" fillId="6" borderId="6" xfId="0" applyFill="true" applyFont="true" applyBorder="true">
      <alignment horizontal="left" vertical="top" indent="1" wrapText="false"/>
    </xf>
    <xf numFmtId="0" fontId="622" fillId="8" borderId="6" xfId="0" applyFill="true" applyFont="true" applyBorder="true">
      <alignment horizontal="left" vertical="top" indent="1" wrapText="false"/>
    </xf>
    <xf numFmtId="0" fontId="623" fillId="6" borderId="6" xfId="0" applyFill="true" applyFont="true" applyBorder="true">
      <alignment horizontal="left" vertical="top" indent="1" wrapText="false"/>
    </xf>
    <xf numFmtId="0" fontId="624" fillId="8" borderId="6" xfId="0" applyFill="true" applyFont="true" applyBorder="true">
      <alignment horizontal="left" vertical="top" indent="1" wrapText="false"/>
    </xf>
    <xf numFmtId="0" fontId="625" fillId="6" borderId="6" xfId="0" applyFill="true" applyFont="true" applyBorder="true">
      <alignment horizontal="left" vertical="top" indent="1" wrapText="false"/>
    </xf>
    <xf numFmtId="0" fontId="626" fillId="8" borderId="6" xfId="0" applyFill="true" applyFont="true" applyBorder="true">
      <alignment horizontal="left" vertical="top" indent="1" wrapText="false"/>
    </xf>
    <xf numFmtId="0" fontId="627" fillId="6" borderId="6" xfId="0" applyFill="true" applyFont="true" applyBorder="true">
      <alignment horizontal="left" vertical="top" indent="1" wrapText="false"/>
    </xf>
    <xf numFmtId="0" fontId="628" fillId="8" borderId="6" xfId="0" applyFill="true" applyFont="true" applyBorder="true">
      <alignment horizontal="left" vertical="top" indent="1" wrapText="false"/>
    </xf>
    <xf numFmtId="0" fontId="629" fillId="6" borderId="6" xfId="0" applyFill="true" applyFont="true" applyBorder="true">
      <alignment horizontal="left" vertical="top" indent="1" wrapText="false"/>
    </xf>
    <xf numFmtId="0" fontId="630" fillId="8" borderId="6" xfId="0" applyFill="true" applyFont="true" applyBorder="true">
      <alignment horizontal="left" vertical="top" indent="1" wrapText="false"/>
    </xf>
    <xf numFmtId="0" fontId="631" fillId="6" borderId="6" xfId="0" applyFill="true" applyFont="true" applyBorder="true">
      <alignment horizontal="left" vertical="top" indent="1" wrapText="false"/>
    </xf>
    <xf numFmtId="0" fontId="632" fillId="8" borderId="6" xfId="0" applyFill="true" applyFont="true" applyBorder="true">
      <alignment horizontal="left" vertical="top" indent="1" wrapText="false"/>
    </xf>
    <xf numFmtId="0" fontId="633" fillId="6" borderId="6" xfId="0" applyFill="true" applyFont="true" applyBorder="true">
      <alignment horizontal="left" vertical="top" indent="1" wrapText="false"/>
    </xf>
    <xf numFmtId="0" fontId="634" fillId="8" borderId="6" xfId="0" applyFill="true" applyFont="true" applyBorder="true">
      <alignment horizontal="left" vertical="top" indent="1" wrapText="false"/>
    </xf>
    <xf numFmtId="0" fontId="635" fillId="6" borderId="6" xfId="0" applyFill="true" applyFont="true" applyBorder="true">
      <alignment horizontal="left" vertical="top" indent="1" wrapText="false"/>
    </xf>
    <xf numFmtId="0" fontId="636" fillId="8" borderId="6" xfId="0" applyFill="true" applyFont="true" applyBorder="true">
      <alignment horizontal="left" vertical="top" indent="1" wrapText="false"/>
    </xf>
    <xf numFmtId="0" fontId="637" fillId="6" borderId="6" xfId="0" applyFill="true" applyFont="true" applyBorder="true">
      <alignment horizontal="left" vertical="top" indent="1" wrapText="false"/>
    </xf>
    <xf numFmtId="0" fontId="638" fillId="8" borderId="6" xfId="0" applyFill="true" applyFont="true" applyBorder="true">
      <alignment horizontal="left" vertical="top" indent="1" wrapText="false"/>
    </xf>
    <xf numFmtId="0" fontId="639" fillId="6" borderId="6" xfId="0" applyFill="true" applyFont="true" applyBorder="true">
      <alignment horizontal="left" vertical="top" indent="1" wrapText="false"/>
    </xf>
    <xf numFmtId="0" fontId="640" fillId="8" borderId="6" xfId="0" applyFill="true" applyFont="true" applyBorder="true">
      <alignment horizontal="left" vertical="top" indent="1" wrapText="false"/>
    </xf>
    <xf numFmtId="0" fontId="641" fillId="6" borderId="6" xfId="0" applyFill="true" applyFont="true" applyBorder="true">
      <alignment horizontal="left" vertical="top" indent="1" wrapText="false"/>
    </xf>
    <xf numFmtId="0" fontId="642" fillId="8" borderId="6" xfId="0" applyFill="true" applyFont="true" applyBorder="true">
      <alignment horizontal="left" vertical="top" indent="1" wrapText="false"/>
    </xf>
    <xf numFmtId="0" fontId="643" fillId="6" borderId="6" xfId="0" applyFill="true" applyFont="true" applyBorder="true">
      <alignment horizontal="left" vertical="top" indent="1" wrapText="false"/>
    </xf>
    <xf numFmtId="0" fontId="644" fillId="8" borderId="6" xfId="0" applyFill="true" applyFont="true" applyBorder="true">
      <alignment horizontal="left" vertical="top" indent="1" wrapText="false"/>
    </xf>
    <xf numFmtId="168" fontId="645" fillId="6" borderId="6" xfId="0" applyFill="true" applyFont="true" applyBorder="true" applyNumberFormat="true">
      <alignment horizontal="left" vertical="top" indent="1" wrapText="false"/>
    </xf>
    <xf numFmtId="168" fontId="646" fillId="8" borderId="6" xfId="0" applyFill="true" applyFont="true" applyBorder="true" applyNumberFormat="true">
      <alignment horizontal="left" vertical="top" indent="1" wrapText="false"/>
    </xf>
    <xf numFmtId="165" fontId="647" fillId="6" borderId="6" xfId="0" applyFill="true" applyFont="true" applyBorder="true" applyNumberFormat="true">
      <alignment horizontal="left" vertical="top" indent="1" wrapText="false"/>
    </xf>
    <xf numFmtId="165" fontId="648" fillId="8" borderId="6" xfId="0" applyFill="true" applyFont="true" applyBorder="true" applyNumberFormat="true">
      <alignment horizontal="left" vertical="top" indent="1" wrapText="false"/>
    </xf>
    <xf numFmtId="0" fontId="649" fillId="6" borderId="6" xfId="0" applyFill="true" applyFont="true" applyBorder="true">
      <alignment horizontal="left" vertical="top" indent="1" wrapText="false"/>
    </xf>
    <xf numFmtId="0" fontId="650" fillId="8" borderId="6" xfId="0" applyFill="true" applyFont="true" applyBorder="true">
      <alignment horizontal="left" vertical="top" indent="1" wrapText="false"/>
    </xf>
    <xf numFmtId="165" fontId="651" fillId="6" borderId="6" xfId="0" applyFill="true" applyFont="true" applyBorder="true" applyNumberFormat="true">
      <alignment horizontal="left" vertical="top" indent="1" wrapText="false"/>
    </xf>
    <xf numFmtId="165" fontId="652" fillId="8" borderId="6" xfId="0" applyFill="true" applyFont="true" applyBorder="true" applyNumberFormat="true">
      <alignment horizontal="left" vertical="top" indent="1" wrapText="false"/>
    </xf>
    <xf numFmtId="0" fontId="653" fillId="6" borderId="6" xfId="0" applyFill="true" applyFont="true" applyBorder="true">
      <alignment horizontal="left" vertical="top" indent="1" wrapText="false"/>
    </xf>
    <xf numFmtId="0" fontId="654" fillId="8" borderId="6" xfId="0" applyFill="true" applyFont="true" applyBorder="true">
      <alignment horizontal="left" vertical="top" indent="1" wrapText="false"/>
    </xf>
    <xf numFmtId="0" fontId="655" fillId="6" borderId="6" xfId="0" applyFill="true" applyFont="true" applyBorder="true">
      <alignment horizontal="left" vertical="top" indent="1" wrapText="false"/>
    </xf>
    <xf numFmtId="0" fontId="656" fillId="8" borderId="6" xfId="0" applyFill="true" applyFont="true" applyBorder="true">
      <alignment horizontal="left" vertical="top" indent="1" wrapText="false"/>
    </xf>
    <xf numFmtId="0" fontId="657" fillId="6" borderId="6" xfId="0" applyFill="true" applyFont="true" applyBorder="true">
      <alignment horizontal="left" vertical="top" indent="1" wrapText="false"/>
    </xf>
    <xf numFmtId="0" fontId="658" fillId="8" borderId="6" xfId="0" applyFill="true" applyFont="true" applyBorder="true">
      <alignment horizontal="left" vertical="top" indent="1" wrapText="false"/>
    </xf>
    <xf numFmtId="0" fontId="659" fillId="6" borderId="6" xfId="0" applyFill="true" applyFont="true" applyBorder="true">
      <alignment horizontal="left" vertical="top" indent="1" wrapText="false"/>
    </xf>
    <xf numFmtId="0" fontId="660" fillId="8" borderId="6" xfId="0" applyFill="true" applyFont="true" applyBorder="true">
      <alignment horizontal="left" vertical="top" indent="1" wrapText="false"/>
    </xf>
    <xf numFmtId="0" fontId="661" fillId="6" borderId="6" xfId="0" applyFill="true" applyFont="true" applyBorder="true">
      <alignment horizontal="left" vertical="top" indent="1" wrapText="false"/>
    </xf>
    <xf numFmtId="0" fontId="662" fillId="8" borderId="6" xfId="0" applyFill="true" applyFont="true" applyBorder="true">
      <alignment horizontal="left" vertical="top" indent="1" wrapText="false"/>
    </xf>
    <xf numFmtId="0" fontId="663" fillId="6" borderId="6" xfId="0" applyFill="true" applyFont="true" applyBorder="true">
      <alignment horizontal="left" vertical="top" indent="1" wrapText="false"/>
    </xf>
    <xf numFmtId="0" fontId="664" fillId="8" borderId="6" xfId="0" applyFill="true" applyFont="true" applyBorder="true">
      <alignment horizontal="left" vertical="top" indent="1" wrapText="false"/>
    </xf>
    <xf numFmtId="0" fontId="665" fillId="6" borderId="6" xfId="0" applyFill="true" applyFont="true" applyBorder="true">
      <alignment horizontal="left" vertical="top" indent="1" wrapText="false"/>
    </xf>
    <xf numFmtId="0" fontId="666" fillId="8" borderId="6" xfId="0" applyFill="true" applyFont="true" applyBorder="true">
      <alignment horizontal="left" vertical="top" indent="1" wrapText="false"/>
    </xf>
    <xf numFmtId="0" fontId="667" fillId="6" borderId="6" xfId="0" applyFill="true" applyFont="true" applyBorder="true">
      <alignment horizontal="left" vertical="top" indent="1" wrapText="false"/>
    </xf>
    <xf numFmtId="0" fontId="668" fillId="8" borderId="6" xfId="0" applyFill="true" applyFont="true" applyBorder="true">
      <alignment horizontal="left" vertical="top" indent="1" wrapText="false"/>
    </xf>
    <xf numFmtId="0" fontId="669" fillId="6" borderId="6" xfId="0" applyFill="true" applyFont="true" applyBorder="true">
      <alignment horizontal="left" vertical="top" indent="1" wrapText="false"/>
    </xf>
    <xf numFmtId="0" fontId="670" fillId="8" borderId="6" xfId="0" applyFill="true" applyFont="true" applyBorder="true">
      <alignment horizontal="left" vertical="top" indent="1" wrapText="false"/>
    </xf>
    <xf numFmtId="168" fontId="671" fillId="6" borderId="6" xfId="0" applyFill="true" applyFont="true" applyBorder="true" applyNumberFormat="true">
      <alignment horizontal="left" vertical="top" indent="1" wrapText="false"/>
    </xf>
    <xf numFmtId="168" fontId="672" fillId="8" borderId="6" xfId="0" applyFill="true" applyFont="true" applyBorder="true" applyNumberFormat="true">
      <alignment horizontal="left" vertical="top" indent="1" wrapText="false"/>
    </xf>
    <xf numFmtId="165" fontId="673" fillId="6" borderId="6" xfId="0" applyFill="true" applyFont="true" applyBorder="true" applyNumberFormat="true">
      <alignment horizontal="left" vertical="top" indent="1" wrapText="false"/>
    </xf>
    <xf numFmtId="165" fontId="674" fillId="8" borderId="6" xfId="0" applyFill="true" applyFont="true" applyBorder="true" applyNumberFormat="true">
      <alignment horizontal="left" vertical="top" indent="1" wrapText="false"/>
    </xf>
    <xf numFmtId="0" fontId="675" fillId="6" borderId="6" xfId="0" applyFill="true" applyFont="true" applyBorder="true">
      <alignment horizontal="left" vertical="top" indent="1" wrapText="false"/>
    </xf>
    <xf numFmtId="0" fontId="676" fillId="8" borderId="6" xfId="0" applyFill="true" applyFont="true" applyBorder="true">
      <alignment horizontal="left" vertical="top" indent="1" wrapText="false"/>
    </xf>
    <xf numFmtId="165" fontId="677" fillId="6" borderId="6" xfId="0" applyFill="true" applyFont="true" applyBorder="true" applyNumberFormat="true">
      <alignment horizontal="left" vertical="top" indent="1" wrapText="false"/>
    </xf>
    <xf numFmtId="165" fontId="678" fillId="8" borderId="6" xfId="0" applyFill="true" applyFont="true" applyBorder="true" applyNumberFormat="true">
      <alignment horizontal="left" vertical="top" indent="1" wrapText="false"/>
    </xf>
    <xf numFmtId="0" fontId="679" fillId="6" borderId="6" xfId="0" applyFill="true" applyFont="true" applyBorder="true">
      <alignment horizontal="left" vertical="top" indent="1" wrapText="false"/>
    </xf>
    <xf numFmtId="0" fontId="680" fillId="8" borderId="6" xfId="0" applyFill="true" applyFont="true" applyBorder="true">
      <alignment horizontal="left" vertical="top" indent="1" wrapText="false"/>
    </xf>
    <xf numFmtId="0" fontId="681" fillId="6" borderId="6" xfId="0" applyFill="true" applyFont="true" applyBorder="true">
      <alignment horizontal="left" vertical="top" indent="1" wrapText="false"/>
    </xf>
    <xf numFmtId="0" fontId="682" fillId="8" borderId="6" xfId="0" applyFill="true" applyFont="true" applyBorder="true">
      <alignment horizontal="left" vertical="top" indent="1" wrapText="false"/>
    </xf>
    <xf numFmtId="0" fontId="683" fillId="6" borderId="6" xfId="0" applyFill="true" applyFont="true" applyBorder="true">
      <alignment horizontal="left" vertical="top" indent="1" wrapText="false"/>
    </xf>
    <xf numFmtId="0" fontId="684" fillId="8" borderId="6" xfId="0" applyFill="true" applyFont="true" applyBorder="true">
      <alignment horizontal="left" vertical="top" indent="1" wrapText="false"/>
    </xf>
    <xf numFmtId="0" fontId="685" fillId="6" borderId="6" xfId="0" applyFill="true" applyFont="true" applyBorder="true">
      <alignment horizontal="left" vertical="top" indent="1" wrapText="false"/>
    </xf>
    <xf numFmtId="0" fontId="686" fillId="8" borderId="6" xfId="0" applyFill="true" applyFont="true" applyBorder="true">
      <alignment horizontal="left" vertical="top" indent="1" wrapText="false"/>
    </xf>
    <xf numFmtId="0" fontId="687" fillId="6" borderId="6" xfId="0" applyFill="true" applyFont="true" applyBorder="true">
      <alignment horizontal="left" vertical="top" indent="1" wrapText="false"/>
    </xf>
    <xf numFmtId="0" fontId="688" fillId="8" borderId="6" xfId="0" applyFill="true" applyFont="true" applyBorder="true">
      <alignment horizontal="left" vertical="top" indent="1" wrapText="false"/>
    </xf>
    <xf numFmtId="0" fontId="689" fillId="6" borderId="6" xfId="0" applyFill="true" applyFont="true" applyBorder="true">
      <alignment horizontal="left" vertical="top" indent="1" wrapText="false"/>
    </xf>
    <xf numFmtId="0" fontId="690" fillId="8" borderId="6" xfId="0" applyFill="true" applyFont="true" applyBorder="true">
      <alignment horizontal="left" vertical="top" indent="1" wrapText="false"/>
    </xf>
    <xf numFmtId="0" fontId="691" fillId="6" borderId="6" xfId="0" applyFill="true" applyFont="true" applyBorder="true">
      <alignment horizontal="left" vertical="top" indent="1" wrapText="false"/>
    </xf>
    <xf numFmtId="0" fontId="692" fillId="8" borderId="6" xfId="0" applyFill="true" applyFont="true" applyBorder="true">
      <alignment horizontal="left" vertical="top" indent="1" wrapText="false"/>
    </xf>
    <xf numFmtId="0" fontId="693" fillId="6" borderId="6" xfId="0" applyFill="true" applyFont="true" applyBorder="true">
      <alignment horizontal="left" vertical="top" indent="1" wrapText="false"/>
    </xf>
    <xf numFmtId="0" fontId="694" fillId="8" borderId="6" xfId="0" applyFill="true" applyFont="true" applyBorder="true">
      <alignment horizontal="left" vertical="top" indent="1" wrapText="false"/>
    </xf>
    <xf numFmtId="0" fontId="695" fillId="6" borderId="6" xfId="0" applyFill="true" applyFont="true" applyBorder="true">
      <alignment horizontal="left" vertical="top" indent="1" wrapText="false"/>
    </xf>
    <xf numFmtId="0" fontId="696" fillId="8" borderId="6" xfId="0" applyFill="true" applyFont="true" applyBorder="true">
      <alignment horizontal="left" vertical="top" indent="1" wrapText="false"/>
    </xf>
    <xf numFmtId="169" fontId="697" fillId="6" borderId="6" xfId="0" applyFill="true" applyFont="true" applyBorder="true" applyNumberFormat="true">
      <alignment horizontal="left" vertical="top" indent="1" wrapText="false"/>
    </xf>
    <xf numFmtId="169" fontId="698" fillId="8" borderId="6" xfId="0" applyFill="true" applyFont="true" applyBorder="true" applyNumberFormat="true">
      <alignment horizontal="left" vertical="top" indent="1" wrapText="false"/>
    </xf>
    <xf numFmtId="170" fontId="699" fillId="6" borderId="6" xfId="0" applyFill="true" applyFont="true" applyBorder="true" applyNumberFormat="true">
      <alignment horizontal="left" vertical="top" indent="1" wrapText="false"/>
    </xf>
    <xf numFmtId="170" fontId="700" fillId="8" borderId="6" xfId="0" applyFill="true" applyFont="true" applyBorder="true" applyNumberFormat="true">
      <alignment horizontal="left" vertical="top" indent="1" wrapText="false"/>
    </xf>
    <xf numFmtId="169" fontId="701" fillId="6" borderId="6" xfId="0" applyFill="true" applyFont="true" applyBorder="true" applyNumberFormat="true">
      <alignment horizontal="left" vertical="top" indent="1" wrapText="false"/>
    </xf>
    <xf numFmtId="169" fontId="702" fillId="8" borderId="6" xfId="0" applyFill="true" applyFont="true" applyBorder="true" applyNumberFormat="true">
      <alignment horizontal="left" vertical="top" indent="1" wrapText="false"/>
    </xf>
    <xf numFmtId="169" fontId="703" fillId="6" borderId="6" xfId="0" applyFill="true" applyFont="true" applyBorder="true" applyNumberFormat="true">
      <alignment horizontal="left" vertical="top" indent="1" wrapText="false"/>
    </xf>
    <xf numFmtId="169" fontId="704" fillId="8" borderId="6" xfId="0" applyFill="true" applyFont="true" applyBorder="true" applyNumberFormat="true">
      <alignment horizontal="left" vertical="top" indent="1" wrapText="false"/>
    </xf>
    <xf numFmtId="169" fontId="705" fillId="6" borderId="6" xfId="0" applyFill="true" applyFont="true" applyBorder="true" applyNumberFormat="true">
      <alignment horizontal="left" vertical="top" indent="1" wrapText="false"/>
    </xf>
    <xf numFmtId="169" fontId="706" fillId="8" borderId="6" xfId="0" applyFill="true" applyFont="true" applyBorder="true" applyNumberFormat="true">
      <alignment horizontal="left" vertical="top" indent="1" wrapText="false"/>
    </xf>
    <xf numFmtId="170" fontId="707" fillId="6" borderId="6" xfId="0" applyFill="true" applyFont="true" applyBorder="true" applyNumberFormat="true">
      <alignment horizontal="left" vertical="top" indent="1" wrapText="false"/>
    </xf>
    <xf numFmtId="170" fontId="708" fillId="8" borderId="6" xfId="0" applyFill="true" applyFont="true" applyBorder="true" applyNumberFormat="true">
      <alignment horizontal="left" vertical="top" indent="1" wrapText="false"/>
    </xf>
    <xf numFmtId="169" fontId="709" fillId="6" borderId="6" xfId="0" applyFill="true" applyFont="true" applyBorder="true" applyNumberFormat="true">
      <alignment horizontal="left" vertical="top" indent="1" wrapText="false"/>
    </xf>
    <xf numFmtId="169" fontId="710" fillId="8" borderId="6" xfId="0" applyFill="true" applyFont="true" applyBorder="true" applyNumberFormat="true">
      <alignment horizontal="left" vertical="top" indent="1" wrapText="false"/>
    </xf>
    <xf numFmtId="170" fontId="711" fillId="6" borderId="6" xfId="0" applyFill="true" applyFont="true" applyBorder="true" applyNumberFormat="true">
      <alignment horizontal="left" vertical="top" indent="1" wrapText="false"/>
    </xf>
    <xf numFmtId="170" fontId="712" fillId="8" borderId="6" xfId="0" applyFill="true" applyFont="true" applyBorder="true" applyNumberFormat="true">
      <alignment horizontal="left" vertical="top" indent="1" wrapText="false"/>
    </xf>
    <xf numFmtId="169" fontId="713" fillId="6" borderId="6" xfId="0" applyFill="true" applyFont="true" applyBorder="true" applyNumberFormat="true">
      <alignment horizontal="left" vertical="top" indent="1" wrapText="false"/>
    </xf>
    <xf numFmtId="169" fontId="714" fillId="8" borderId="6" xfId="0" applyFill="true" applyFont="true" applyBorder="true" applyNumberFormat="true">
      <alignment horizontal="left" vertical="top" indent="1" wrapText="false"/>
    </xf>
    <xf numFmtId="170" fontId="715" fillId="6" borderId="6" xfId="0" applyFill="true" applyFont="true" applyBorder="true" applyNumberFormat="true">
      <alignment horizontal="left" vertical="top" indent="1" wrapText="false"/>
    </xf>
    <xf numFmtId="170" fontId="716" fillId="8" borderId="6" xfId="0" applyFill="true" applyFont="true" applyBorder="true" applyNumberFormat="true">
      <alignment horizontal="left" vertical="top" indent="1" wrapText="false"/>
    </xf>
    <xf numFmtId="169" fontId="717" fillId="6" borderId="6" xfId="0" applyFill="true" applyFont="true" applyBorder="true" applyNumberFormat="true">
      <alignment horizontal="left" vertical="top" indent="1" wrapText="false"/>
    </xf>
    <xf numFmtId="169" fontId="718" fillId="8" borderId="6" xfId="0" applyFill="true" applyFont="true" applyBorder="true" applyNumberFormat="true">
      <alignment horizontal="left" vertical="top" indent="1" wrapText="false"/>
    </xf>
    <xf numFmtId="170" fontId="719" fillId="6" borderId="6" xfId="0" applyFill="true" applyFont="true" applyBorder="true" applyNumberFormat="true">
      <alignment horizontal="left" vertical="top" indent="1" wrapText="false"/>
    </xf>
    <xf numFmtId="170" fontId="720" fillId="8" borderId="6" xfId="0" applyFill="true" applyFont="true" applyBorder="true" applyNumberFormat="true">
      <alignment horizontal="left" vertical="top" indent="1" wrapText="false"/>
    </xf>
    <xf numFmtId="169" fontId="721" fillId="6" borderId="6" xfId="0" applyFill="true" applyFont="true" applyBorder="true" applyNumberFormat="true">
      <alignment horizontal="left" vertical="top" indent="1" wrapText="false"/>
    </xf>
    <xf numFmtId="169" fontId="722" fillId="8" borderId="6" xfId="0" applyFill="true" applyFont="true" applyBorder="true" applyNumberFormat="true">
      <alignment horizontal="left" vertical="top" indent="1" wrapText="false"/>
    </xf>
    <xf numFmtId="170" fontId="723" fillId="6" borderId="6" xfId="0" applyFill="true" applyFont="true" applyBorder="true" applyNumberFormat="true">
      <alignment horizontal="left" vertical="top" indent="1" wrapText="false"/>
    </xf>
    <xf numFmtId="170" fontId="724" fillId="8" borderId="6" xfId="0" applyFill="true" applyFont="true" applyBorder="true" applyNumberFormat="true">
      <alignment horizontal="left" vertical="top" indent="1" wrapText="false"/>
    </xf>
    <xf numFmtId="169" fontId="725" fillId="6" borderId="6" xfId="0" applyFill="true" applyFont="true" applyBorder="true" applyNumberFormat="true">
      <alignment horizontal="left" vertical="top" indent="1" wrapText="false"/>
    </xf>
    <xf numFmtId="169" fontId="726" fillId="8" borderId="6" xfId="0" applyFill="true" applyFont="true" applyBorder="true" applyNumberFormat="true">
      <alignment horizontal="left" vertical="top" indent="1" wrapText="false"/>
    </xf>
    <xf numFmtId="170" fontId="727" fillId="6" borderId="6" xfId="0" applyFill="true" applyFont="true" applyBorder="true" applyNumberFormat="true">
      <alignment horizontal="left" vertical="top" indent="1" wrapText="false"/>
    </xf>
    <xf numFmtId="170" fontId="728" fillId="8" borderId="6" xfId="0" applyFill="true" applyFont="true" applyBorder="true" applyNumberFormat="true">
      <alignment horizontal="left" vertical="top" indent="1" wrapText="false"/>
    </xf>
    <xf numFmtId="171" fontId="729" fillId="6" borderId="6" xfId="0" applyFill="true" applyFont="true" applyBorder="true" applyNumberFormat="true">
      <alignment horizontal="left" vertical="top" indent="1" wrapText="false"/>
    </xf>
    <xf numFmtId="171" fontId="730" fillId="8" borderId="6" xfId="0" applyFill="true" applyFont="true" applyBorder="true" applyNumberFormat="true">
      <alignment horizontal="left" vertical="top" indent="1" wrapText="false"/>
    </xf>
    <xf numFmtId="170" fontId="731" fillId="6" borderId="6" xfId="0" applyFill="true" applyFont="true" applyBorder="true" applyNumberFormat="true">
      <alignment horizontal="left" vertical="top" indent="1" wrapText="false"/>
    </xf>
    <xf numFmtId="170" fontId="732" fillId="8" borderId="6" xfId="0" applyFill="true" applyFont="true" applyBorder="true" applyNumberFormat="true">
      <alignment horizontal="left" vertical="top" indent="1" wrapText="false"/>
    </xf>
    <xf numFmtId="171" fontId="733" fillId="6" borderId="6" xfId="0" applyFill="true" applyFont="true" applyBorder="true" applyNumberFormat="true">
      <alignment horizontal="left" vertical="top" indent="1" wrapText="false"/>
    </xf>
    <xf numFmtId="171" fontId="734" fillId="8" borderId="6" xfId="0" applyFill="true" applyFont="true" applyBorder="true" applyNumberFormat="true">
      <alignment horizontal="left" vertical="top" indent="1" wrapText="false"/>
    </xf>
    <xf numFmtId="169" fontId="735" fillId="6" borderId="6" xfId="0" applyFill="true" applyFont="true" applyBorder="true" applyNumberFormat="true">
      <alignment horizontal="left" vertical="top" indent="1" wrapText="false"/>
    </xf>
    <xf numFmtId="169" fontId="736" fillId="8" borderId="6" xfId="0" applyFill="true" applyFont="true" applyBorder="true" applyNumberFormat="true">
      <alignment horizontal="left" vertical="top" indent="1" wrapText="false"/>
    </xf>
    <xf numFmtId="171" fontId="737" fillId="6" borderId="6" xfId="0" applyFill="true" applyFont="true" applyBorder="true" applyNumberFormat="true">
      <alignment horizontal="left" vertical="top" indent="1" wrapText="false"/>
    </xf>
    <xf numFmtId="171" fontId="738" fillId="8" borderId="6" xfId="0" applyFill="true" applyFont="true" applyBorder="true" applyNumberFormat="true">
      <alignment horizontal="left" vertical="top" indent="1" wrapText="false"/>
    </xf>
    <xf numFmtId="170" fontId="739" fillId="6" borderId="6" xfId="0" applyFill="true" applyFont="true" applyBorder="true" applyNumberFormat="true">
      <alignment horizontal="left" vertical="top" indent="1" wrapText="false"/>
    </xf>
    <xf numFmtId="170" fontId="740" fillId="8" borderId="6" xfId="0" applyFill="true" applyFont="true" applyBorder="true" applyNumberFormat="true">
      <alignment horizontal="left" vertical="top" indent="1" wrapText="false"/>
    </xf>
    <xf numFmtId="171" fontId="741" fillId="6" borderId="6" xfId="0" applyFill="true" applyFont="true" applyBorder="true" applyNumberFormat="true">
      <alignment horizontal="left" vertical="top" indent="1" wrapText="false"/>
    </xf>
    <xf numFmtId="171" fontId="742" fillId="8" borderId="6" xfId="0" applyFill="true" applyFont="true" applyBorder="true" applyNumberFormat="true">
      <alignment horizontal="left" vertical="top" indent="1" wrapText="false"/>
    </xf>
    <xf numFmtId="170" fontId="743" fillId="6" borderId="6" xfId="0" applyFill="true" applyFont="true" applyBorder="true" applyNumberFormat="true">
      <alignment horizontal="left" vertical="top" indent="1" wrapText="false"/>
    </xf>
    <xf numFmtId="170" fontId="744" fillId="8" borderId="6" xfId="0" applyFill="true" applyFont="true" applyBorder="true" applyNumberFormat="true">
      <alignment horizontal="left" vertical="top" indent="1" wrapText="false"/>
    </xf>
    <xf numFmtId="171" fontId="745" fillId="6" borderId="6" xfId="0" applyFill="true" applyFont="true" applyBorder="true" applyNumberFormat="true">
      <alignment horizontal="left" vertical="top" indent="1" wrapText="false"/>
    </xf>
    <xf numFmtId="171" fontId="746" fillId="8" borderId="6" xfId="0" applyFill="true" applyFont="true" applyBorder="true" applyNumberFormat="true">
      <alignment horizontal="left" vertical="top" indent="1" wrapText="false"/>
    </xf>
    <xf numFmtId="170" fontId="747" fillId="6" borderId="6" xfId="0" applyFill="true" applyFont="true" applyBorder="true" applyNumberFormat="true">
      <alignment horizontal="left" vertical="top" indent="1" wrapText="false"/>
    </xf>
    <xf numFmtId="170" fontId="748" fillId="8" borderId="6" xfId="0" applyFill="true" applyFont="true" applyBorder="true" applyNumberFormat="true">
      <alignment horizontal="left" vertical="top" indent="1" wrapText="false"/>
    </xf>
    <xf numFmtId="171" fontId="749" fillId="6" borderId="6" xfId="0" applyFill="true" applyFont="true" applyBorder="true" applyNumberFormat="true">
      <alignment horizontal="left" vertical="top" indent="1" wrapText="false"/>
    </xf>
    <xf numFmtId="171" fontId="750" fillId="8" borderId="6" xfId="0" applyFill="true" applyFont="true" applyBorder="true" applyNumberFormat="true">
      <alignment horizontal="left" vertical="top" indent="1" wrapText="false"/>
    </xf>
    <xf numFmtId="170" fontId="751" fillId="6" borderId="6" xfId="0" applyFill="true" applyFont="true" applyBorder="true" applyNumberFormat="true">
      <alignment horizontal="left" vertical="top" indent="1" wrapText="false"/>
    </xf>
    <xf numFmtId="170" fontId="752" fillId="8" borderId="6" xfId="0" applyFill="true" applyFont="true" applyBorder="true" applyNumberFormat="true">
      <alignment horizontal="left" vertical="top" indent="1" wrapText="false"/>
    </xf>
    <xf numFmtId="171" fontId="753" fillId="6" borderId="6" xfId="0" applyFill="true" applyFont="true" applyBorder="true" applyNumberFormat="true">
      <alignment horizontal="left" vertical="top" indent="1" wrapText="false"/>
    </xf>
    <xf numFmtId="171" fontId="754" fillId="8" borderId="6" xfId="0" applyFill="true" applyFont="true" applyBorder="true" applyNumberFormat="true">
      <alignment horizontal="left" vertical="top" indent="1" wrapText="false"/>
    </xf>
    <xf numFmtId="170" fontId="755" fillId="6" borderId="6" xfId="0" applyFill="true" applyFont="true" applyBorder="true" applyNumberFormat="true">
      <alignment horizontal="left" vertical="top" indent="1" wrapText="false"/>
    </xf>
    <xf numFmtId="170" fontId="756" fillId="8" borderId="6" xfId="0" applyFill="true" applyFont="true" applyBorder="true" applyNumberFormat="true">
      <alignment horizontal="left" vertical="top" indent="1" wrapText="false"/>
    </xf>
    <xf numFmtId="171" fontId="757" fillId="6" borderId="6" xfId="0" applyFill="true" applyFont="true" applyBorder="true" applyNumberFormat="true">
      <alignment horizontal="left" vertical="top" indent="1" wrapText="false"/>
    </xf>
    <xf numFmtId="171" fontId="758" fillId="8" borderId="6" xfId="0" applyFill="true" applyFont="true" applyBorder="true" applyNumberFormat="true">
      <alignment horizontal="left" vertical="top" indent="1" wrapText="false"/>
    </xf>
    <xf numFmtId="170" fontId="759" fillId="6" borderId="6" xfId="0" applyFill="true" applyFont="true" applyBorder="true" applyNumberFormat="true">
      <alignment horizontal="left" vertical="top" indent="1" wrapText="false"/>
    </xf>
    <xf numFmtId="170" fontId="760" fillId="8" borderId="6" xfId="0" applyFill="true" applyFont="true" applyBorder="true" applyNumberFormat="true">
      <alignment horizontal="left" vertical="top" indent="1" wrapText="false"/>
    </xf>
    <xf numFmtId="170" fontId="761" fillId="6" borderId="6" xfId="0" applyFill="true" applyFont="true" applyBorder="true" applyNumberFormat="true">
      <alignment horizontal="left" vertical="top" indent="1" wrapText="false"/>
    </xf>
    <xf numFmtId="170" fontId="762" fillId="8" borderId="6" xfId="0" applyFill="true" applyFont="true" applyBorder="true" applyNumberFormat="true">
      <alignment horizontal="left" vertical="top" indent="1" wrapText="false"/>
    </xf>
    <xf numFmtId="170" fontId="763" fillId="6" borderId="6" xfId="0" applyFill="true" applyFont="true" applyBorder="true" applyNumberFormat="true">
      <alignment horizontal="left" vertical="top" indent="1" wrapText="false"/>
    </xf>
    <xf numFmtId="170" fontId="764" fillId="8" borderId="6" xfId="0" applyFill="true" applyFont="true" applyBorder="true" applyNumberFormat="true">
      <alignment horizontal="left" vertical="top" indent="1" wrapText="false"/>
    </xf>
    <xf numFmtId="169" fontId="765" fillId="6" borderId="6" xfId="0" applyFill="true" applyFont="true" applyBorder="true" applyNumberFormat="true">
      <alignment horizontal="left" vertical="top" indent="1" wrapText="false"/>
    </xf>
    <xf numFmtId="169" fontId="766" fillId="8" borderId="6" xfId="0" applyFill="true" applyFont="true" applyBorder="true" applyNumberFormat="true">
      <alignment horizontal="left" vertical="top" indent="1" wrapText="false"/>
    </xf>
    <xf numFmtId="170" fontId="767" fillId="6" borderId="6" xfId="0" applyFill="true" applyFont="true" applyBorder="true" applyNumberFormat="true">
      <alignment horizontal="left" vertical="top" indent="1" wrapText="false"/>
    </xf>
    <xf numFmtId="170" fontId="768" fillId="8" borderId="6" xfId="0" applyFill="true" applyFont="true" applyBorder="true" applyNumberFormat="true">
      <alignment horizontal="left" vertical="top" indent="1" wrapText="false"/>
    </xf>
    <xf numFmtId="170" fontId="769" fillId="6" borderId="6" xfId="0" applyFill="true" applyFont="true" applyBorder="true" applyNumberFormat="true">
      <alignment horizontal="left" vertical="top" indent="1" wrapText="false"/>
    </xf>
    <xf numFmtId="170" fontId="770" fillId="8" borderId="6" xfId="0" applyFill="true" applyFont="true" applyBorder="true" applyNumberFormat="true">
      <alignment horizontal="left" vertical="top" indent="1" wrapText="false"/>
    </xf>
    <xf numFmtId="169" fontId="771" fillId="6" borderId="6" xfId="0" applyFill="true" applyFont="true" applyBorder="true" applyNumberFormat="true">
      <alignment horizontal="left" vertical="top" indent="1" wrapText="false"/>
    </xf>
    <xf numFmtId="169" fontId="772" fillId="8" borderId="6" xfId="0" applyFill="true" applyFont="true" applyBorder="true" applyNumberFormat="true">
      <alignment horizontal="left" vertical="top" indent="1" wrapText="false"/>
    </xf>
    <xf numFmtId="170" fontId="773" fillId="6" borderId="6" xfId="0" applyFill="true" applyFont="true" applyBorder="true" applyNumberFormat="true">
      <alignment horizontal="left" vertical="top" indent="1" wrapText="false"/>
    </xf>
    <xf numFmtId="170" fontId="774" fillId="8" borderId="6" xfId="0" applyFill="true" applyFont="true" applyBorder="true" applyNumberFormat="true">
      <alignment horizontal="left" vertical="top" indent="1" wrapText="false"/>
    </xf>
    <xf numFmtId="170" fontId="775" fillId="6" borderId="6" xfId="0" applyFill="true" applyFont="true" applyBorder="true" applyNumberFormat="true">
      <alignment horizontal="left" vertical="top" indent="1" wrapText="false"/>
    </xf>
    <xf numFmtId="170" fontId="776" fillId="8" borderId="6" xfId="0" applyFill="true" applyFont="true" applyBorder="true" applyNumberFormat="true">
      <alignment horizontal="left" vertical="top" indent="1" wrapText="false"/>
    </xf>
    <xf numFmtId="169" fontId="777" fillId="6" borderId="6" xfId="0" applyFill="true" applyFont="true" applyBorder="true" applyNumberFormat="true">
      <alignment horizontal="left" vertical="top" indent="1" wrapText="false"/>
    </xf>
    <xf numFmtId="169" fontId="778" fillId="8" borderId="6" xfId="0" applyFill="true" applyFont="true" applyBorder="true" applyNumberFormat="true">
      <alignment horizontal="left" vertical="top" indent="1" wrapText="false"/>
    </xf>
    <xf numFmtId="170" fontId="779" fillId="6" borderId="6" xfId="0" applyFill="true" applyFont="true" applyBorder="true" applyNumberFormat="true">
      <alignment horizontal="left" vertical="top" indent="1" wrapText="false"/>
    </xf>
    <xf numFmtId="170" fontId="780" fillId="8" borderId="6" xfId="0" applyFill="true" applyFont="true" applyBorder="true" applyNumberFormat="true">
      <alignment horizontal="left" vertical="top" indent="1" wrapText="false"/>
    </xf>
    <xf numFmtId="170" fontId="781" fillId="6" borderId="6" xfId="0" applyFill="true" applyFont="true" applyBorder="true" applyNumberFormat="true">
      <alignment horizontal="left" vertical="top" indent="1" wrapText="false"/>
    </xf>
    <xf numFmtId="170" fontId="782" fillId="8" borderId="6" xfId="0" applyFill="true" applyFont="true" applyBorder="true" applyNumberFormat="true">
      <alignment horizontal="left" vertical="top" indent="1" wrapText="false"/>
    </xf>
    <xf numFmtId="169" fontId="783" fillId="6" borderId="6" xfId="0" applyFill="true" applyFont="true" applyBorder="true" applyNumberFormat="true">
      <alignment horizontal="left" vertical="top" indent="1" wrapText="false"/>
    </xf>
    <xf numFmtId="169" fontId="784" fillId="8" borderId="6" xfId="0" applyFill="true" applyFont="true" applyBorder="true" applyNumberFormat="true">
      <alignment horizontal="left" vertical="top" indent="1" wrapText="false"/>
    </xf>
    <xf numFmtId="0" fontId="785" fillId="6" borderId="6" xfId="0" applyFill="true" applyFont="true" applyBorder="true">
      <alignment horizontal="left" vertical="top" indent="1" wrapText="false"/>
    </xf>
    <xf numFmtId="0" fontId="786" fillId="8" borderId="6" xfId="0" applyFill="true" applyFont="true" applyBorder="true">
      <alignment horizontal="left" vertical="top" indent="1" wrapText="false"/>
    </xf>
    <xf numFmtId="0" fontId="787" fillId="0" borderId="0" xfId="0" applyFont="true">
      <alignment horizontal="general" vertical="bottom"/>
    </xf>
    <xf numFmtId="0" fontId="788" fillId="9" borderId="0" xfId="0" applyFont="true" applyFill="true" applyNumberFormat="true"/>
    <xf numFmtId="0" fontId="789" fillId="9" borderId="0" xfId="0" applyFont="true" applyFill="true" applyNumberFormat="true"/>
    <xf numFmtId="0" fontId="790" fillId="9" borderId="0" xfId="1" applyFont="true" applyFill="true" applyAlignment="1" applyProtection="1" applyNumberFormat="true"/>
    <xf numFmtId="0" fontId="791" fillId="9" borderId="0" xfId="0" applyFont="true" applyFill="true" applyNumberFormat="true"/>
    <xf numFmtId="0" fontId="792" fillId="9" borderId="0" xfId="2" applyFont="true" applyFill="true" applyAlignment="1" applyProtection="1" applyNumberFormat="true"/>
    <xf numFmtId="0" fontId="793" fillId="9" borderId="0" xfId="0" applyFont="true" applyFill="true" applyNumberFormat="true"/>
    <xf numFmtId="0" fontId="794" fillId="9" borderId="0" xfId="0" applyFont="true" applyFill="true" applyNumberFormat="true"/>
    <xf numFmtId="0" fontId="795" fillId="9" borderId="0" xfId="2" applyFont="true" applyFill="true" applyAlignment="1" applyProtection="1" applyNumberFormat="true"/>
    <xf numFmtId="0" fontId="796" fillId="9" borderId="0" xfId="2" applyFont="true" applyFill="true" applyAlignment="1" applyProtection="1" applyNumberFormat="true"/>
    <xf numFmtId="0" fontId="797" fillId="9" borderId="0" xfId="1" applyFont="true" applyFill="true" applyAlignment="1" applyProtection="1" applyNumberFormat="true"/>
    <xf numFmtId="0" fontId="798" fillId="9" borderId="0" xfId="2" applyFont="true" applyFill="true" applyAlignment="1" applyProtection="1" applyNumberFormat="true"/>
    <xf numFmtId="0" fontId="799" fillId="0" borderId="0" xfId="0" applyFont="true">
      <alignment horizontal="general" vertical="bottom"/>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worksheet" Target="worksheets/sheet7.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1353527</xdr:colOff>
      <xdr:row>1</xdr:row>
      <xdr:rowOff>76200</xdr:rowOff>
    </xdr:to>
    <xdr:pic>
      <xdr:nvPicPr>
        <xdr:cNvPr id="1" name="Picture 1" descr="Picture"/>
        <xdr:cNvPicPr>
          <a:picLocks noChangeAspect="true"/>
        </xdr:cNvPicPr>
      </xdr:nvPicPr>
      <xdr:blipFill>
        <a:blip r:embed="rId1"/>
        <a:stretch>
          <a:fillRect/>
        </a:stretch>
      </xdr:blipFill>
      <xdr:spPr>
        <a:xfrm>
          <a:off x="0" y="0"/>
          <a:ext cx="2076450" cy="409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 Id="rId3" Type="http://schemas.openxmlformats.org/officeDocument/2006/relationships/comments" Target="../comments6.xml"/>
  <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dimension ref="A1:G8"/>
  <sheetViews>
    <sheetView showGridLines="0" tabSelected="false" workbookViewId="0">
      <selection activeCell="A1" sqref="A1"/>
    </sheetView>
  </sheetViews>
  <sheetFormatPr defaultRowHeight="15"/>
  <cols>
    <col min="4" max="4" customWidth="true" width="22.40234375" collapsed="true"/>
    <col min="3" max="3" customWidth="true" width="30.3515625" collapsed="true"/>
    <col min="1" max="1" customWidth="true" width="10.83984375" collapsed="true"/>
    <col min="2" max="2" customWidth="true" width="35.69921875" collapsed="true"/>
    <col min="7" max="7" customWidth="true" width="30.640625" collapsed="true"/>
    <col min="5" max="5" width="8.671875" customWidth="true"/>
    <col min="6" max="6" width="39.0234375" customWidth="true"/>
    <col min="8" max="8" width="30.640625" customWidth="true"/>
    <col min="9" max="9" width="29.1953125" customWidth="true"/>
    <col min="10" max="10" width="33.2421875" customWidth="true"/>
    <col min="11" max="11" width="28.47265625" customWidth="true"/>
    <col min="12" max="12" width="21.6796875" customWidth="true"/>
    <col min="13" max="13" width="11.8515625" customWidth="true"/>
    <col min="14" max="14" width="18.06640625" customWidth="true"/>
    <col min="15" max="15" width="18.7890625" customWidth="true"/>
    <col min="16" max="16" width="26.015625" customWidth="true"/>
    <col min="17" max="17" width="21.6796875" customWidth="true"/>
    <col min="18" max="18" width="14.01953125" customWidth="true"/>
    <col min="19" max="19" width="13.0078125" customWidth="true"/>
    <col min="20" max="20" width="10.1171875" customWidth="true"/>
    <col min="21" max="21" width="12.71875" customWidth="true"/>
    <col min="22" max="22" width="19.51171875" customWidth="true"/>
    <col min="23" max="23" width="57.8125" customWidth="true"/>
    <col min="24" max="24" width="57.8125" customWidth="true"/>
    <col min="25" max="25" width="12.4296875" customWidth="true"/>
    <col min="26" max="26" width="9.97265625" customWidth="true"/>
    <col min="27" max="27" width="10.984375" customWidth="true"/>
    <col min="28" max="28" width="14.453125" customWidth="true"/>
    <col min="29" max="29" width="11.41796875" customWidth="true"/>
    <col min="30" max="30" width="10.6953125" customWidth="true"/>
    <col min="31" max="31" width="18.7890625" customWidth="true"/>
    <col min="32" max="32" width="19.65625" customWidth="true"/>
    <col min="33" max="33" width="26.8828125" customWidth="true"/>
    <col min="34" max="34" width="26.8828125" customWidth="true"/>
    <col min="35" max="35" width="18.2109375" customWidth="true"/>
    <col min="36" max="36" width="23.125" customWidth="true"/>
    <col min="37" max="37" width="23.125" customWidth="true"/>
    <col min="38" max="38" width="23.125" customWidth="true"/>
    <col min="39" max="39" width="15.8984375" customWidth="true"/>
    <col min="40" max="40" width="17.921875" customWidth="true"/>
    <col min="41" max="41" width="13.73046875" customWidth="true"/>
    <col min="42" max="42" width="13.73046875" customWidth="true"/>
    <col min="43" max="43" width="13.73046875" customWidth="true"/>
    <col min="44" max="44" width="12.28515625" customWidth="true"/>
    <col min="45" max="45" width="23.9921875" customWidth="true"/>
    <col min="46" max="46" width="15.75390625" customWidth="true"/>
    <col min="47" max="47" width="15.75390625" customWidth="true"/>
    <col min="48" max="48" width="37.578125" customWidth="true"/>
    <col min="49" max="49" width="28.90625" customWidth="true"/>
    <col min="50" max="50" width="12.28515625" customWidth="true"/>
    <col min="51" max="51" width="28.90625" customWidth="true"/>
    <col min="52" max="52" width="28.90625" customWidth="true"/>
    <col min="53" max="53" width="28.90625" customWidth="true"/>
    <col min="54" max="54" width="34.109375" customWidth="true"/>
    <col min="55" max="55" width="34.109375" customWidth="true"/>
    <col min="56" max="56" width="34.109375" customWidth="true"/>
    <col min="57" max="57" width="28.90625" customWidth="true"/>
    <col min="58" max="58" width="28.90625" customWidth="true"/>
    <col min="59" max="59" width="16.62109375" customWidth="true"/>
    <col min="60" max="60" width="16.62109375" customWidth="true"/>
    <col min="61" max="61" width="17.34375" customWidth="true"/>
    <col min="62" max="62" width="16.62109375" customWidth="true"/>
    <col min="63" max="63" width="19.3671875" customWidth="true"/>
    <col min="64" max="64" width="18.06640625" customWidth="true"/>
    <col min="65" max="65" width="18.06640625" customWidth="true"/>
    <col min="66" max="66" width="18.06640625" customWidth="true"/>
    <col min="67" max="67" width="18.06640625" customWidth="true"/>
    <col min="68" max="68" width="18.06640625" customWidth="true"/>
    <col min="69" max="69" width="18.06640625" customWidth="true"/>
    <col min="70" max="70" width="18.06640625" customWidth="true"/>
    <col min="71" max="71" width="18.06640625" customWidth="true"/>
    <col min="72" max="72" width="16.91015625" customWidth="true"/>
    <col min="73" max="73" width="17.6328125" customWidth="true"/>
    <col min="74" max="74" width="17.6328125" customWidth="true"/>
    <col min="75" max="75" width="18.06640625" customWidth="true"/>
    <col min="76" max="76" width="18.93359375" customWidth="true"/>
    <col min="77" max="77" width="17.6328125" customWidth="true"/>
    <col min="78" max="78" width="17.6328125" customWidth="true"/>
    <col min="79" max="79" width="17.6328125" customWidth="true"/>
    <col min="80" max="80" width="17.6328125" customWidth="true"/>
    <col min="81" max="81" width="17.6328125" customWidth="true"/>
    <col min="82" max="82" width="17.6328125" customWidth="true"/>
    <col min="83" max="83" width="17.6328125" customWidth="true"/>
    <col min="84" max="84" width="17.6328125" customWidth="true"/>
    <col min="85" max="85" width="12.28515625" customWidth="true"/>
    <col min="86" max="86" width="15.8984375" customWidth="true"/>
    <col min="87" max="87" width="15.8984375" customWidth="true"/>
    <col min="88" max="88" width="15.8984375" customWidth="true"/>
    <col min="89" max="89" width="15.8984375" customWidth="true"/>
    <col min="90" max="90" width="18.7890625" customWidth="true"/>
    <col min="91" max="91" width="16.62109375" customWidth="true"/>
    <col min="92" max="92" width="18.7890625" customWidth="true"/>
    <col min="93" max="93" width="21.96875" customWidth="true"/>
    <col min="94" max="94" width="21.96875" customWidth="true"/>
    <col min="95" max="95" width="18.7890625" customWidth="true"/>
    <col min="96" max="96" width="18.7890625" customWidth="true"/>
    <col min="97" max="97" width="18.7890625" customWidth="true"/>
    <col min="98" max="98" width="18.7890625" customWidth="true"/>
    <col min="99" max="99" width="18.7890625" customWidth="true"/>
    <col min="100" max="100" width="18.7890625" customWidth="true"/>
    <col min="101" max="101" width="10.6953125" customWidth="true"/>
    <col min="102" max="102" width="15.8984375" customWidth="true"/>
    <col min="103" max="103" width="15.8984375" customWidth="true"/>
    <col min="104" max="104" width="15.8984375" customWidth="true"/>
    <col min="105" max="105" width="13.73046875" customWidth="true"/>
    <col min="106" max="106" width="21.6796875" customWidth="true"/>
    <col min="107" max="107" width="13.73046875" customWidth="true"/>
    <col min="108" max="108" width="21.6796875" customWidth="true"/>
    <col min="109" max="109" width="19.078125" customWidth="true"/>
    <col min="110" max="110" width="21.96875" customWidth="true"/>
    <col min="111" max="111" width="15.8984375" customWidth="true"/>
    <col min="112" max="112" width="21.6796875" customWidth="true"/>
    <col min="113" max="113" width="17.34375" customWidth="true"/>
    <col min="114" max="114" width="21.6796875" customWidth="true"/>
    <col min="115" max="115" width="15.8984375" customWidth="true"/>
    <col min="116" max="116" width="21.6796875" customWidth="true"/>
    <col min="117" max="117" width="21.96875" customWidth="true"/>
    <col min="118" max="118" width="21.96875" customWidth="true"/>
    <col min="119" max="119" width="21.96875" customWidth="true"/>
    <col min="120" max="120" width="13.5859375" customWidth="true"/>
    <col min="121" max="121" width="17.6328125" customWidth="true"/>
    <col min="122" max="122" width="17.6328125" customWidth="true"/>
    <col min="123" max="123" width="20.234375" customWidth="true"/>
    <col min="124" max="124" width="20.234375" customWidth="true"/>
    <col min="125" max="125" width="20.5234375" customWidth="true"/>
    <col min="126" max="126" width="13.0078125" customWidth="true"/>
    <col min="127" max="127" width="19.51171875" customWidth="true"/>
    <col min="128" max="128" width="19.51171875" customWidth="true"/>
    <col min="129" max="129" width="18.06640625" customWidth="true"/>
    <col min="130" max="130" width="19.80078125" customWidth="true"/>
  </cols>
  <sheetData>
    <row r="1" spans="1:7" ht="26.25" customHeight="1">
      <c r="E1" s="5" t="s">
        <v>4</v>
      </c>
      <c r="F1" s="5"/>
      <c r="G1" s="5"/>
    </row>
    <row r="2" spans="1:7" ht="12" customHeight="1"/>
    <row r="3" spans="1:7" ht="9.75" customHeight="1"/>
    <row r="4" spans="1:7">
      <c r="A4" s="2" t="s">
        <v>0</v>
      </c>
      <c r="B4" s="6" t="s">
        <v>5</v>
      </c>
      <c r="C4" s="6"/>
      <c r="D4" s="6"/>
    </row>
    <row r="5" spans="1:7">
      <c r="B5" s="6"/>
      <c r="C5" s="6"/>
      <c r="D5" s="6"/>
      <c r="F5" s="1" t="s">
        <v>1</v>
      </c>
      <c r="G5" s="3" t="s">
        <v>6</v>
      </c>
    </row>
    <row r="6" spans="1:7">
      <c r="B6" s="6"/>
      <c r="C6" s="6"/>
      <c r="D6" s="6"/>
      <c r="F6" s="1" t="s">
        <v>3</v>
      </c>
      <c r="G6" s="4" t="s">
        <v>7</v>
      </c>
    </row>
    <row r="8" spans="1:7" ht="35.0" customHeight="true">
      <c r="A8" t="s" s="7">
        <v>8</v>
      </c>
      <c r="B8" t="s" s="7">
        <v>9</v>
      </c>
      <c r="C8" t="s" s="7">
        <v>10</v>
      </c>
      <c r="D8" t="s" s="7">
        <v>11</v>
      </c>
      <c r="E8" t="s" s="7">
        <v>12</v>
      </c>
      <c r="F8" t="s" s="7">
        <v>13</v>
      </c>
      <c r="G8" t="s" s="7">
        <v>14</v>
      </c>
      <c r="H8" t="s" s="7">
        <v>15</v>
      </c>
      <c r="I8" t="s" s="7">
        <v>16</v>
      </c>
      <c r="J8" t="s" s="7">
        <v>17</v>
      </c>
      <c r="K8" t="s" s="7">
        <v>18</v>
      </c>
      <c r="L8" t="s" s="7">
        <v>19</v>
      </c>
      <c r="M8" t="s" s="7">
        <v>20</v>
      </c>
      <c r="N8" t="s" s="7">
        <v>21</v>
      </c>
      <c r="O8" t="s" s="7">
        <v>22</v>
      </c>
      <c r="P8" t="s" s="7">
        <v>23</v>
      </c>
      <c r="Q8" t="s" s="7">
        <v>24</v>
      </c>
      <c r="R8" t="s" s="7">
        <v>25</v>
      </c>
      <c r="S8" t="s" s="7">
        <v>26</v>
      </c>
      <c r="T8" t="s" s="7">
        <v>27</v>
      </c>
      <c r="U8" t="s" s="7">
        <v>28</v>
      </c>
      <c r="V8" t="s" s="7">
        <v>29</v>
      </c>
      <c r="W8" t="s" s="7">
        <v>30</v>
      </c>
      <c r="X8" t="s" s="7">
        <v>31</v>
      </c>
      <c r="Y8" t="s" s="7">
        <v>32</v>
      </c>
      <c r="Z8" t="s" s="7">
        <v>33</v>
      </c>
      <c r="AA8" t="s" s="7">
        <v>34</v>
      </c>
      <c r="AB8" t="s" s="7">
        <v>35</v>
      </c>
      <c r="AC8" t="s" s="7">
        <v>36</v>
      </c>
      <c r="AD8" t="s" s="7">
        <v>37</v>
      </c>
      <c r="AE8" t="s" s="7">
        <v>38</v>
      </c>
      <c r="AF8" t="s" s="7">
        <v>39</v>
      </c>
      <c r="AG8" t="s" s="7">
        <v>40</v>
      </c>
      <c r="AH8" t="s" s="7">
        <v>41</v>
      </c>
      <c r="AI8" t="s" s="7">
        <v>42</v>
      </c>
      <c r="AJ8" t="s" s="7">
        <v>43</v>
      </c>
      <c r="AK8" t="s" s="7">
        <v>44</v>
      </c>
      <c r="AL8" t="s" s="7">
        <v>45</v>
      </c>
      <c r="AM8" t="s" s="7">
        <v>46</v>
      </c>
      <c r="AN8" t="s" s="7">
        <v>47</v>
      </c>
      <c r="AO8" t="s" s="7">
        <v>48</v>
      </c>
      <c r="AP8" t="s" s="7">
        <v>49</v>
      </c>
      <c r="AQ8" t="s" s="7">
        <v>50</v>
      </c>
      <c r="AR8" t="s" s="7">
        <v>51</v>
      </c>
      <c r="AS8" t="s" s="7">
        <v>52</v>
      </c>
      <c r="AT8" t="s" s="7">
        <v>53</v>
      </c>
      <c r="AU8" t="s" s="7">
        <v>54</v>
      </c>
      <c r="AV8" t="s" s="7">
        <v>55</v>
      </c>
      <c r="AW8" t="s" s="7">
        <v>56</v>
      </c>
      <c r="AX8" t="s" s="7">
        <v>57</v>
      </c>
      <c r="AY8" t="s" s="7">
        <v>58</v>
      </c>
      <c r="AZ8" t="s" s="7">
        <v>59</v>
      </c>
      <c r="BA8" t="s" s="7">
        <v>60</v>
      </c>
      <c r="BB8" t="s" s="7">
        <v>61</v>
      </c>
      <c r="BC8" t="s" s="7">
        <v>62</v>
      </c>
      <c r="BD8" t="s" s="7">
        <v>63</v>
      </c>
      <c r="BE8" t="s" s="7">
        <v>64</v>
      </c>
      <c r="BF8" t="s" s="7">
        <v>65</v>
      </c>
      <c r="BG8" t="s" s="7">
        <v>66</v>
      </c>
      <c r="BH8" t="s" s="7">
        <v>67</v>
      </c>
      <c r="BI8" t="s" s="7">
        <v>68</v>
      </c>
      <c r="BJ8" t="s" s="7">
        <v>69</v>
      </c>
      <c r="BK8" t="s" s="7">
        <v>70</v>
      </c>
      <c r="BL8" t="s" s="7">
        <v>71</v>
      </c>
      <c r="BM8" t="s" s="7">
        <v>72</v>
      </c>
      <c r="BN8" t="s" s="7">
        <v>73</v>
      </c>
      <c r="BO8" t="s" s="7">
        <v>74</v>
      </c>
      <c r="BP8" t="s" s="7">
        <v>75</v>
      </c>
      <c r="BQ8" t="s" s="7">
        <v>76</v>
      </c>
      <c r="BR8" t="s" s="7">
        <v>77</v>
      </c>
      <c r="BS8" t="s" s="7">
        <v>78</v>
      </c>
      <c r="BT8" t="s" s="7">
        <v>79</v>
      </c>
      <c r="BU8" t="s" s="7">
        <v>80</v>
      </c>
      <c r="BV8" t="s" s="7">
        <v>81</v>
      </c>
      <c r="BW8" t="s" s="7">
        <v>82</v>
      </c>
      <c r="BX8" t="s" s="7">
        <v>83</v>
      </c>
      <c r="BY8" t="s" s="7">
        <v>84</v>
      </c>
      <c r="BZ8" t="s" s="7">
        <v>85</v>
      </c>
      <c r="CA8" t="s" s="7">
        <v>86</v>
      </c>
      <c r="CB8" t="s" s="7">
        <v>87</v>
      </c>
      <c r="CC8" t="s" s="7">
        <v>88</v>
      </c>
      <c r="CD8" t="s" s="7">
        <v>89</v>
      </c>
      <c r="CE8" t="s" s="7">
        <v>90</v>
      </c>
      <c r="CF8" t="s" s="7">
        <v>91</v>
      </c>
      <c r="CG8" t="s" s="7">
        <v>92</v>
      </c>
      <c r="CH8" t="s" s="7">
        <v>93</v>
      </c>
      <c r="CI8" t="s" s="7">
        <v>94</v>
      </c>
      <c r="CJ8" t="s" s="7">
        <v>95</v>
      </c>
      <c r="CK8" t="s" s="7">
        <v>96</v>
      </c>
      <c r="CL8" t="s" s="7">
        <v>97</v>
      </c>
      <c r="CM8" t="s" s="7">
        <v>98</v>
      </c>
      <c r="CN8" t="s" s="7">
        <v>99</v>
      </c>
      <c r="CO8" t="s" s="7">
        <v>100</v>
      </c>
      <c r="CP8" t="s" s="7">
        <v>101</v>
      </c>
      <c r="CQ8" t="s" s="7">
        <v>102</v>
      </c>
      <c r="CR8" t="s" s="7">
        <v>103</v>
      </c>
      <c r="CS8" t="s" s="7">
        <v>104</v>
      </c>
      <c r="CT8" t="s" s="7">
        <v>105</v>
      </c>
      <c r="CU8" t="s" s="7">
        <v>106</v>
      </c>
      <c r="CV8" t="s" s="7">
        <v>107</v>
      </c>
      <c r="CW8" t="s" s="7">
        <v>108</v>
      </c>
      <c r="CX8" t="s" s="7">
        <v>109</v>
      </c>
      <c r="CY8" t="s" s="7">
        <v>110</v>
      </c>
      <c r="CZ8" t="s" s="7">
        <v>111</v>
      </c>
      <c r="DA8" t="s" s="7">
        <v>112</v>
      </c>
      <c r="DB8" t="s" s="7">
        <v>113</v>
      </c>
      <c r="DC8" t="s" s="7">
        <v>114</v>
      </c>
      <c r="DD8" t="s" s="7">
        <v>115</v>
      </c>
      <c r="DE8" t="s" s="7">
        <v>116</v>
      </c>
      <c r="DF8" t="s" s="7">
        <v>117</v>
      </c>
      <c r="DG8" t="s" s="7">
        <v>118</v>
      </c>
      <c r="DH8" t="s" s="7">
        <v>119</v>
      </c>
      <c r="DI8" t="s" s="7">
        <v>120</v>
      </c>
      <c r="DJ8" t="s" s="7">
        <v>121</v>
      </c>
      <c r="DK8" t="s" s="7">
        <v>122</v>
      </c>
      <c r="DL8" t="s" s="7">
        <v>123</v>
      </c>
      <c r="DM8" t="s" s="7">
        <v>124</v>
      </c>
      <c r="DN8" t="s" s="7">
        <v>125</v>
      </c>
      <c r="DO8" t="s" s="7">
        <v>126</v>
      </c>
      <c r="DP8" t="s" s="7">
        <v>127</v>
      </c>
      <c r="DQ8" t="s" s="7">
        <v>128</v>
      </c>
      <c r="DR8" t="s" s="7">
        <v>129</v>
      </c>
      <c r="DS8" t="s" s="7">
        <v>130</v>
      </c>
      <c r="DT8" t="s" s="7">
        <v>131</v>
      </c>
      <c r="DU8" t="s" s="7">
        <v>132</v>
      </c>
      <c r="DV8" t="s" s="7">
        <v>133</v>
      </c>
      <c r="DW8" t="s" s="7">
        <v>134</v>
      </c>
      <c r="DX8" t="s" s="7">
        <v>135</v>
      </c>
      <c r="DY8" t="s" s="7">
        <v>136</v>
      </c>
      <c r="DZ8" t="s" s="8">
        <v>137</v>
      </c>
    </row>
    <row r="9">
      <c r="A9" s="9" t="inlineStr">
        <is>
          <t>64334-26</t>
        </is>
      </c>
      <c r="B9" s="10" t="inlineStr">
        <is>
          <t>Deliveroo</t>
        </is>
      </c>
      <c r="C9" s="11" t="inlineStr">
        <is>
          <t/>
        </is>
      </c>
      <c r="D9" s="12" t="inlineStr">
        <is>
          <t/>
        </is>
      </c>
      <c r="E9" s="13" t="inlineStr">
        <is>
          <t>64334-26</t>
        </is>
      </c>
      <c r="F9" s="14" t="inlineStr">
        <is>
          <t>Provider of an online food delivery platform designed to order restaurant meals. The company's online food delivery platform optimizes food ordering and delivery by integrating web and mobile consumers with restaurant tablet-based point-of-sale order management terminals, providing uses with food deliveries from their favorite restaurant.</t>
        </is>
      </c>
      <c r="G9" s="15" t="inlineStr">
        <is>
          <t>Information Technology</t>
        </is>
      </c>
      <c r="H9" s="16" t="inlineStr">
        <is>
          <t>Software</t>
        </is>
      </c>
      <c r="I9" s="17" t="inlineStr">
        <is>
          <t>Application Software</t>
        </is>
      </c>
      <c r="J9" s="18" t="inlineStr">
        <is>
          <t>Application Software*; Internet Retail; Other Retail; Other IT Services</t>
        </is>
      </c>
      <c r="K9" s="19" t="inlineStr">
        <is>
          <t>E-Commerce, Mobile</t>
        </is>
      </c>
      <c r="L9" s="20" t="inlineStr">
        <is>
          <t>Venture Capital-Backed</t>
        </is>
      </c>
      <c r="M9" s="21" t="n">
        <v>766.69</v>
      </c>
      <c r="N9" s="22" t="inlineStr">
        <is>
          <t>Profitable</t>
        </is>
      </c>
      <c r="O9" s="23" t="inlineStr">
        <is>
          <t>Privately Held (backing)</t>
        </is>
      </c>
      <c r="P9" s="24" t="inlineStr">
        <is>
          <t>Venture Capital</t>
        </is>
      </c>
      <c r="Q9" s="25" t="inlineStr">
        <is>
          <t>www.deliveroo.co.uk</t>
        </is>
      </c>
      <c r="R9" s="26" t="n">
        <v>1000.0</v>
      </c>
      <c r="S9" s="27" t="inlineStr">
        <is>
          <t/>
        </is>
      </c>
      <c r="T9" s="28" t="inlineStr">
        <is>
          <t/>
        </is>
      </c>
      <c r="U9" s="29" t="n">
        <v>2012.0</v>
      </c>
      <c r="V9" s="30" t="inlineStr">
        <is>
          <t/>
        </is>
      </c>
      <c r="W9" s="31" t="inlineStr">
        <is>
          <t/>
        </is>
      </c>
      <c r="X9" s="32" t="inlineStr">
        <is>
          <r>
            <rPr>
              <b/>
              <color rgb="ff26854d"/>
              <rFont val="Arial"/>
              <sz val="8.0"/>
            </rPr>
            <t>News</t>
          </r>
          <r>
            <rPr>
              <color rgb="ff707070"/>
              <rFont val="Arial"/>
              <sz val="7.0"/>
            </rPr>
            <t xml:space="preserve"> NEW  </t>
          </r>
        </is>
      </c>
      <c r="Y9" s="33" t="n">
        <v>165.53844</v>
      </c>
      <c r="Z9" s="34" t="n">
        <v>1.40391</v>
      </c>
      <c r="AA9" s="35" t="n">
        <v>-166.11708</v>
      </c>
      <c r="AB9" s="36" t="inlineStr">
        <is>
          <t/>
        </is>
      </c>
      <c r="AC9" s="37" t="n">
        <v>-173.43071</v>
      </c>
      <c r="AD9" s="38" t="inlineStr">
        <is>
          <t>FY 2016</t>
        </is>
      </c>
      <c r="AE9" s="39" t="inlineStr">
        <is>
          <t>70955-29P</t>
        </is>
      </c>
      <c r="AF9" s="40" t="inlineStr">
        <is>
          <t>William Shu</t>
        </is>
      </c>
      <c r="AG9" s="41" t="inlineStr">
        <is>
          <t>Co-Founder, Board Member and Chief Executive Officer</t>
        </is>
      </c>
      <c r="AH9" s="42" t="inlineStr">
        <is>
          <t>william.shu@deliveroo.co.uk</t>
        </is>
      </c>
      <c r="AI9" s="43" t="inlineStr">
        <is>
          <t>+44 (0)20 3322 3444</t>
        </is>
      </c>
      <c r="AJ9" s="44" t="inlineStr">
        <is>
          <t>London, United Kingdom</t>
        </is>
      </c>
      <c r="AK9" s="45" t="inlineStr">
        <is>
          <t>22-24 Torrington Place</t>
        </is>
      </c>
      <c r="AL9" s="46" t="inlineStr">
        <is>
          <t/>
        </is>
      </c>
      <c r="AM9" s="47" t="inlineStr">
        <is>
          <t>London</t>
        </is>
      </c>
      <c r="AN9" s="48" t="inlineStr">
        <is>
          <t>England</t>
        </is>
      </c>
      <c r="AO9" s="49" t="inlineStr">
        <is>
          <t>WC1E 7HJ</t>
        </is>
      </c>
      <c r="AP9" s="50" t="inlineStr">
        <is>
          <t>United Kingdom</t>
        </is>
      </c>
      <c r="AQ9" s="51" t="inlineStr">
        <is>
          <t>+44 (0)20 3322 3444</t>
        </is>
      </c>
      <c r="AR9" s="52" t="inlineStr">
        <is>
          <t/>
        </is>
      </c>
      <c r="AS9" s="53" t="inlineStr">
        <is>
          <t>info@deliveroo.co.uk</t>
        </is>
      </c>
      <c r="AT9" s="54" t="inlineStr">
        <is>
          <t>Europe</t>
        </is>
      </c>
      <c r="AU9" s="55" t="inlineStr">
        <is>
          <t>Western Europe</t>
        </is>
      </c>
      <c r="AV9" s="56" t="inlineStr">
        <is>
          <t>The company raised $482 million of Series F venture funding in a deal lead by T. Rowe Price and Fidelity Management &amp; Research on November 17, 2017, putting the company's pre-money valuation at $1.52 billion. DST Global, General Catalyst Partners, Index Ventures (UK), Accel and other undisclosed angel investors also participated in the round. The funds will be used to invest in expansion of the company's "Editions" (previously called RooBox) program, continue to grow the size of its technology team and rapidly expand into new towns, cities and countries.</t>
        </is>
      </c>
      <c r="AW9" s="57" t="inlineStr">
        <is>
          <t>Accel, Bridgepoint, DST Global, Entrée Capital, Felix Capital, Fidelity Management &amp; Research, General Catalyst Partners, GR Capital, Greenoaks Capital, Hoxton Ventures, Hummingbird Ventures, Index Ventures (UK), Isomer Capital, JamJar Investments, Khaled Helioui, Man Capital, NGP Capital, Swordfish Investments, T. Rowe Price, Toba Capital, U-Start</t>
        </is>
      </c>
      <c r="AX9" s="58" t="n">
        <v>21.0</v>
      </c>
      <c r="AY9" s="59" t="inlineStr">
        <is>
          <t/>
        </is>
      </c>
      <c r="AZ9" s="60" t="inlineStr">
        <is>
          <t/>
        </is>
      </c>
      <c r="BA9" s="61" t="inlineStr">
        <is>
          <t/>
        </is>
      </c>
      <c r="BB9" s="62" t="inlineStr">
        <is>
          <t>Accel (www.accel.com), Bridgepoint (www.bridgepoint.eu), DST Global (www.dst-global.com), Entrée Capital (www.entreecap.com), Felix Capital (www.felixcap.com), Fidelity Management &amp; Research (www.fidelity.com), General Catalyst Partners (www.generalcatalyst.com), GR Capital (www.gr.capital), Greenoaks Capital (www.greenoakscap.com), Hoxton Ventures (www.hoxtonventures.com), Hummingbird Ventures (www.hummingbird.vc), Index Ventures (UK) (www.indexventures.com), Isomer Capital (www.isomercapital.org), JamJar Investments (www.jamjarinvestments.com), Man Capital (www.man-capital.com), NGP Capital (www.ngpcap.com), Swordfish Investments (www.swordfishinvestments.com), T. Rowe Price (www3.troweprice.com), Toba Capital (www.tobacapital.com), U-Start (www.u-start.biz)</t>
        </is>
      </c>
      <c r="BC9" s="63" t="inlineStr">
        <is>
          <t/>
        </is>
      </c>
      <c r="BD9" s="64" t="inlineStr">
        <is>
          <t/>
        </is>
      </c>
      <c r="BE9" s="65" t="inlineStr">
        <is>
          <t>Kandidate (Consulting), Daversa Partners (Consulting), Renaissance Leadership (Consulting), Future Fifty (Consulting), Founders Keepers (Consulting), PwC (Auditor), Melot Accounting (Accounting)</t>
        </is>
      </c>
      <c r="BF9" s="66" t="inlineStr">
        <is>
          <t>Melot Accounting (Accounting)</t>
        </is>
      </c>
      <c r="BG9" s="67" t="n">
        <v>41816.0</v>
      </c>
      <c r="BH9" s="68" t="n">
        <v>3.42</v>
      </c>
      <c r="BI9" s="69" t="inlineStr">
        <is>
          <t>Actual</t>
        </is>
      </c>
      <c r="BJ9" s="70" t="n">
        <v>14.6</v>
      </c>
      <c r="BK9" s="71" t="inlineStr">
        <is>
          <t>Actual</t>
        </is>
      </c>
      <c r="BL9" s="72" t="inlineStr">
        <is>
          <t>Early Stage VC</t>
        </is>
      </c>
      <c r="BM9" s="73" t="inlineStr">
        <is>
          <t>Series A</t>
        </is>
      </c>
      <c r="BN9" s="74" t="inlineStr">
        <is>
          <t/>
        </is>
      </c>
      <c r="BO9" s="75" t="inlineStr">
        <is>
          <t>Venture Capital</t>
        </is>
      </c>
      <c r="BP9" s="76" t="inlineStr">
        <is>
          <t/>
        </is>
      </c>
      <c r="BQ9" s="77" t="inlineStr">
        <is>
          <t/>
        </is>
      </c>
      <c r="BR9" s="78" t="inlineStr">
        <is>
          <t/>
        </is>
      </c>
      <c r="BS9" s="79" t="inlineStr">
        <is>
          <t>Completed</t>
        </is>
      </c>
      <c r="BT9" s="80" t="n">
        <v>43056.0</v>
      </c>
      <c r="BU9" s="81" t="n">
        <v>409.92</v>
      </c>
      <c r="BV9" s="82" t="inlineStr">
        <is>
          <t>Actual</t>
        </is>
      </c>
      <c r="BW9" s="83" t="n">
        <v>1700.9</v>
      </c>
      <c r="BX9" s="84" t="inlineStr">
        <is>
          <t>Estimated</t>
        </is>
      </c>
      <c r="BY9" s="85" t="inlineStr">
        <is>
          <t>Later Stage VC</t>
        </is>
      </c>
      <c r="BZ9" s="86" t="inlineStr">
        <is>
          <t>Series F</t>
        </is>
      </c>
      <c r="CA9" s="87" t="inlineStr">
        <is>
          <t/>
        </is>
      </c>
      <c r="CB9" s="88" t="inlineStr">
        <is>
          <t>Venture Capital</t>
        </is>
      </c>
      <c r="CC9" s="89" t="inlineStr">
        <is>
          <t/>
        </is>
      </c>
      <c r="CD9" s="90" t="inlineStr">
        <is>
          <t/>
        </is>
      </c>
      <c r="CE9" s="91" t="inlineStr">
        <is>
          <t/>
        </is>
      </c>
      <c r="CF9" s="92" t="inlineStr">
        <is>
          <t>Completed</t>
        </is>
      </c>
      <c r="CG9" s="93" t="inlineStr">
        <is>
          <t>-3,37%</t>
        </is>
      </c>
      <c r="CH9" s="94" t="inlineStr">
        <is>
          <t>6</t>
        </is>
      </c>
      <c r="CI9" s="95" t="inlineStr">
        <is>
          <t>-0,01%</t>
        </is>
      </c>
      <c r="CJ9" s="96" t="inlineStr">
        <is>
          <t>-0,21%</t>
        </is>
      </c>
      <c r="CK9" s="97" t="inlineStr">
        <is>
          <t>-15,61%</t>
        </is>
      </c>
      <c r="CL9" s="98" t="inlineStr">
        <is>
          <t>1</t>
        </is>
      </c>
      <c r="CM9" s="99" t="inlineStr">
        <is>
          <t>0,52%</t>
        </is>
      </c>
      <c r="CN9" s="100" t="inlineStr">
        <is>
          <t>89</t>
        </is>
      </c>
      <c r="CO9" s="101" t="inlineStr">
        <is>
          <t>-31,26%</t>
        </is>
      </c>
      <c r="CP9" s="102" t="inlineStr">
        <is>
          <t>1</t>
        </is>
      </c>
      <c r="CQ9" s="103" t="inlineStr">
        <is>
          <t>0,04%</t>
        </is>
      </c>
      <c r="CR9" s="104" t="inlineStr">
        <is>
          <t>89</t>
        </is>
      </c>
      <c r="CS9" s="105" t="inlineStr">
        <is>
          <t>0,84%</t>
        </is>
      </c>
      <c r="CT9" s="106" t="inlineStr">
        <is>
          <t>93</t>
        </is>
      </c>
      <c r="CU9" s="107" t="inlineStr">
        <is>
          <t>0,20%</t>
        </is>
      </c>
      <c r="CV9" s="108" t="inlineStr">
        <is>
          <t>76</t>
        </is>
      </c>
      <c r="CW9" s="109" t="inlineStr">
        <is>
          <t>226,95x</t>
        </is>
      </c>
      <c r="CX9" s="110" t="inlineStr">
        <is>
          <t>99</t>
        </is>
      </c>
      <c r="CY9" s="111" t="inlineStr">
        <is>
          <t>2,86x</t>
        </is>
      </c>
      <c r="CZ9" s="112" t="inlineStr">
        <is>
          <t>1,27%</t>
        </is>
      </c>
      <c r="DA9" s="113" t="inlineStr">
        <is>
          <t>17,13x</t>
        </is>
      </c>
      <c r="DB9" s="114" t="inlineStr">
        <is>
          <t>93</t>
        </is>
      </c>
      <c r="DC9" s="115" t="inlineStr">
        <is>
          <t>434,88x</t>
        </is>
      </c>
      <c r="DD9" s="116" t="inlineStr">
        <is>
          <t>99</t>
        </is>
      </c>
      <c r="DE9" s="117" t="inlineStr">
        <is>
          <t>26,51x</t>
        </is>
      </c>
      <c r="DF9" s="118" t="inlineStr">
        <is>
          <t>94</t>
        </is>
      </c>
      <c r="DG9" s="119" t="inlineStr">
        <is>
          <t>7,75x</t>
        </is>
      </c>
      <c r="DH9" s="120" t="inlineStr">
        <is>
          <t>84</t>
        </is>
      </c>
      <c r="DI9" s="121" t="inlineStr">
        <is>
          <t>743,41x</t>
        </is>
      </c>
      <c r="DJ9" s="122" t="inlineStr">
        <is>
          <t>99</t>
        </is>
      </c>
      <c r="DK9" s="123" t="inlineStr">
        <is>
          <t>126,35x</t>
        </is>
      </c>
      <c r="DL9" s="124" t="inlineStr">
        <is>
          <t>98</t>
        </is>
      </c>
      <c r="DM9" s="125" t="inlineStr">
        <is>
          <t>9.977</t>
        </is>
      </c>
      <c r="DN9" s="126" t="inlineStr">
        <is>
          <t>-711</t>
        </is>
      </c>
      <c r="DO9" s="127" t="inlineStr">
        <is>
          <t>-6,65%</t>
        </is>
      </c>
      <c r="DP9" s="128" t="inlineStr">
        <is>
          <t>586.751</t>
        </is>
      </c>
      <c r="DQ9" s="129" t="inlineStr">
        <is>
          <t>4.794</t>
        </is>
      </c>
      <c r="DR9" s="130" t="inlineStr">
        <is>
          <t>0,82%</t>
        </is>
      </c>
      <c r="DS9" s="131" t="inlineStr">
        <is>
          <t>279</t>
        </is>
      </c>
      <c r="DT9" s="132" t="inlineStr">
        <is>
          <t>0</t>
        </is>
      </c>
      <c r="DU9" s="133" t="inlineStr">
        <is>
          <t>0,00%</t>
        </is>
      </c>
      <c r="DV9" s="134" t="inlineStr">
        <is>
          <t>47.217</t>
        </is>
      </c>
      <c r="DW9" s="135" t="inlineStr">
        <is>
          <t>96</t>
        </is>
      </c>
      <c r="DX9" s="136" t="inlineStr">
        <is>
          <t>0,20%</t>
        </is>
      </c>
      <c r="DY9" s="137" t="inlineStr">
        <is>
          <t>PitchBook Research</t>
        </is>
      </c>
      <c r="DZ9" s="785">
        <f>HYPERLINK("https://my.pitchbook.com?c=64334-26", "View company online")</f>
      </c>
    </row>
    <row r="10">
      <c r="A10" s="139" t="inlineStr">
        <is>
          <t>54162-82</t>
        </is>
      </c>
      <c r="B10" s="140" t="inlineStr">
        <is>
          <t>Funding Circle</t>
        </is>
      </c>
      <c r="C10" s="141" t="inlineStr">
        <is>
          <t/>
        </is>
      </c>
      <c r="D10" s="142" t="inlineStr">
        <is>
          <t/>
        </is>
      </c>
      <c r="E10" s="143" t="inlineStr">
        <is>
          <t>54162-82</t>
        </is>
      </c>
      <c r="F10" s="144" t="inlineStr">
        <is>
          <t>Operator of a lending platform for small businesses. The company offers a peer-to-peer lending marketplace for business loans, where people and organizations can directly lend to small businesses.</t>
        </is>
      </c>
      <c r="G10" s="145" t="inlineStr">
        <is>
          <t>Information Technology</t>
        </is>
      </c>
      <c r="H10" s="146" t="inlineStr">
        <is>
          <t>Software</t>
        </is>
      </c>
      <c r="I10" s="147" t="inlineStr">
        <is>
          <t>Financial Software</t>
        </is>
      </c>
      <c r="J10" s="148" t="inlineStr">
        <is>
          <t>Financial Software*; Specialized Finance; Social/Platform Software</t>
        </is>
      </c>
      <c r="K10" s="149" t="inlineStr">
        <is>
          <t>FinTech</t>
        </is>
      </c>
      <c r="L10" s="150" t="inlineStr">
        <is>
          <t>Venture Capital-Backed</t>
        </is>
      </c>
      <c r="M10" s="151" t="n">
        <v>352.39</v>
      </c>
      <c r="N10" s="152" t="inlineStr">
        <is>
          <t>Profitable</t>
        </is>
      </c>
      <c r="O10" s="153" t="inlineStr">
        <is>
          <t>Privately Held (backing)</t>
        </is>
      </c>
      <c r="P10" s="154" t="inlineStr">
        <is>
          <t>Venture Capital</t>
        </is>
      </c>
      <c r="Q10" s="155" t="inlineStr">
        <is>
          <t>www.fundingcircle.com</t>
        </is>
      </c>
      <c r="R10" s="156" t="n">
        <v>700.0</v>
      </c>
      <c r="S10" s="157" t="inlineStr">
        <is>
          <t/>
        </is>
      </c>
      <c r="T10" s="158" t="inlineStr">
        <is>
          <t/>
        </is>
      </c>
      <c r="U10" s="159" t="n">
        <v>2010.0</v>
      </c>
      <c r="V10" s="160" t="inlineStr">
        <is>
          <t/>
        </is>
      </c>
      <c r="W10" s="161" t="inlineStr">
        <is>
          <t/>
        </is>
      </c>
      <c r="X10" s="162" t="inlineStr">
        <is>
          <r>
            <rPr>
              <b/>
              <color rgb="ff26854d"/>
              <rFont val="Arial"/>
              <sz val="8.0"/>
            </rPr>
            <t>News</t>
          </r>
          <r>
            <rPr>
              <color rgb="ff707070"/>
              <rFont val="Arial"/>
              <sz val="7.0"/>
            </rPr>
            <t xml:space="preserve"> NEW  </t>
          </r>
        </is>
      </c>
      <c r="Y10" s="163" t="n">
        <v>65.50963</v>
      </c>
      <c r="Z10" s="164" t="inlineStr">
        <is>
          <t/>
        </is>
      </c>
      <c r="AA10" s="165" t="n">
        <v>-45.9497</v>
      </c>
      <c r="AB10" s="166" t="inlineStr">
        <is>
          <t/>
        </is>
      </c>
      <c r="AC10" s="167" t="inlineStr">
        <is>
          <t/>
        </is>
      </c>
      <c r="AD10" s="168" t="inlineStr">
        <is>
          <t>FY 2016</t>
        </is>
      </c>
      <c r="AE10" s="169" t="inlineStr">
        <is>
          <t>40751-38P</t>
        </is>
      </c>
      <c r="AF10" s="170" t="inlineStr">
        <is>
          <t>Samir Desai</t>
        </is>
      </c>
      <c r="AG10" s="171" t="inlineStr">
        <is>
          <t>Co-Founder, Chief Executive Officer &amp; Board Member</t>
        </is>
      </c>
      <c r="AH10" s="172" t="inlineStr">
        <is>
          <t>samir.desai@fundingcircle.com</t>
        </is>
      </c>
      <c r="AI10" s="173" t="inlineStr">
        <is>
          <t>+44 (0)20 7401 9111</t>
        </is>
      </c>
      <c r="AJ10" s="174" t="inlineStr">
        <is>
          <t>London, United Kingdom</t>
        </is>
      </c>
      <c r="AK10" s="175" t="inlineStr">
        <is>
          <t>71 Queen Victoria Street</t>
        </is>
      </c>
      <c r="AL10" s="176" t="inlineStr">
        <is>
          <t/>
        </is>
      </c>
      <c r="AM10" s="177" t="inlineStr">
        <is>
          <t>London</t>
        </is>
      </c>
      <c r="AN10" s="178" t="inlineStr">
        <is>
          <t>England</t>
        </is>
      </c>
      <c r="AO10" s="179" t="inlineStr">
        <is>
          <t>EC4V 4AY</t>
        </is>
      </c>
      <c r="AP10" s="180" t="inlineStr">
        <is>
          <t>United Kingdom</t>
        </is>
      </c>
      <c r="AQ10" s="181" t="inlineStr">
        <is>
          <t>+44 (0)20 7401 9111</t>
        </is>
      </c>
      <c r="AR10" s="182" t="inlineStr">
        <is>
          <t/>
        </is>
      </c>
      <c r="AS10" s="183" t="inlineStr">
        <is>
          <t>contactus@fundingcircle.com</t>
        </is>
      </c>
      <c r="AT10" s="184" t="inlineStr">
        <is>
          <t>Europe</t>
        </is>
      </c>
      <c r="AU10" s="185" t="inlineStr">
        <is>
          <t>Western Europe</t>
        </is>
      </c>
      <c r="AV10" s="186" t="inlineStr">
        <is>
          <t>The company raised GBP 82 million of Series F venture funding led by Accel Partners on January 11, 2017. Baillie Gifford, DST Global, Index Ventures, Ribbit Capital, Rocket Internet, Sands Capital Ventures, Temasek and Union Square Ventures also participated in the round. The company will use the funding to further build out its platform. With the round, the company has now raised a total of approximately GBP 300 million in funding to date.</t>
        </is>
      </c>
      <c r="AW10" s="187" t="inlineStr">
        <is>
          <t>Accel, Alex Gezelius, Baillie Gifford, Better Capital, BlackRock Private Equity Partners, Brian Watson, Charles Dunstone, DST Global, Geoffrey Fink, Index Ventures (UK), Jonathan Moulton, Michael Treskow, Montage Ventures, Philipp Hartmann, Ribbit Capital, Rocket Internet, Sands Capital Ventures, SoftBank Group, Temasek Holdings, Todd Kimmel, Union Square Ventures</t>
        </is>
      </c>
      <c r="AX10" s="188" t="n">
        <v>21.0</v>
      </c>
      <c r="AY10" s="189" t="inlineStr">
        <is>
          <t/>
        </is>
      </c>
      <c r="AZ10" s="190" t="inlineStr">
        <is>
          <t/>
        </is>
      </c>
      <c r="BA10" s="191" t="inlineStr">
        <is>
          <t/>
        </is>
      </c>
      <c r="BB10" s="192" t="inlineStr">
        <is>
          <t>Accel (www.accel.com), Baillie Gifford (www.bailliegifford.com), Better Capital (www.bettercapital.co.uk), DST Global (www.dst-global.com), Index Ventures (UK) (www.indexventures.com), Montage Ventures (www.montageventures.com), Ribbit Capital (www.ribbitcap.com), Rocket Internet (www.rocket-internet.com), Sands Capital Ventures (www.sandscapitalventures.com), SoftBank Group (www.softbank.jp), Temasek Holdings (www.temasek.com.sg), Union Square Ventures (www.usv.com)</t>
        </is>
      </c>
      <c r="BC10" s="193" t="inlineStr">
        <is>
          <t/>
        </is>
      </c>
      <c r="BD10" s="194" t="inlineStr">
        <is>
          <t/>
        </is>
      </c>
      <c r="BE10" s="195" t="inlineStr">
        <is>
          <t>Barclays Bank (General Business Banking), Future Fifty (Consulting), Maclay Murray &amp; Spens (Legal Advisor), True Capital Partners (Advisor: General), PwC (Auditor), The Goldman Sachs Group (Lead Manager or Arranger), Deloitte (Auditor), HW Fisher &amp; Company (Auditor), Osborne Clarke (Legal Advisor), Santander UK (General Business Banking)</t>
        </is>
      </c>
      <c r="BF10" s="196" t="inlineStr">
        <is>
          <t>The Goldman Sachs Group (Lead Manager or Arranger), Osborne Clarke (Legal Advisor), British Business Bank (Debt Financing)</t>
        </is>
      </c>
      <c r="BG10" s="197" t="n">
        <v>40221.0</v>
      </c>
      <c r="BH10" s="198" t="n">
        <v>0.8</v>
      </c>
      <c r="BI10" s="199" t="inlineStr">
        <is>
          <t>Actual</t>
        </is>
      </c>
      <c r="BJ10" s="200" t="inlineStr">
        <is>
          <t/>
        </is>
      </c>
      <c r="BK10" s="201" t="inlineStr">
        <is>
          <t/>
        </is>
      </c>
      <c r="BL10" s="202" t="inlineStr">
        <is>
          <t>Angel (individual)</t>
        </is>
      </c>
      <c r="BM10" s="203" t="inlineStr">
        <is>
          <t>Angel</t>
        </is>
      </c>
      <c r="BN10" s="204" t="inlineStr">
        <is>
          <t/>
        </is>
      </c>
      <c r="BO10" s="205" t="inlineStr">
        <is>
          <t>Individual</t>
        </is>
      </c>
      <c r="BP10" s="206" t="inlineStr">
        <is>
          <t/>
        </is>
      </c>
      <c r="BQ10" s="207" t="inlineStr">
        <is>
          <t/>
        </is>
      </c>
      <c r="BR10" s="208" t="inlineStr">
        <is>
          <t/>
        </is>
      </c>
      <c r="BS10" s="209" t="inlineStr">
        <is>
          <t>Completed</t>
        </is>
      </c>
      <c r="BT10" s="210" t="n">
        <v>42746.0</v>
      </c>
      <c r="BU10" s="211" t="n">
        <v>95.16</v>
      </c>
      <c r="BV10" s="212" t="inlineStr">
        <is>
          <t>Actual</t>
        </is>
      </c>
      <c r="BW10" s="213" t="n">
        <v>1005.67</v>
      </c>
      <c r="BX10" s="214" t="inlineStr">
        <is>
          <t>Actual</t>
        </is>
      </c>
      <c r="BY10" s="215" t="inlineStr">
        <is>
          <t>Later Stage VC</t>
        </is>
      </c>
      <c r="BZ10" s="216" t="inlineStr">
        <is>
          <t>Series F</t>
        </is>
      </c>
      <c r="CA10" s="217" t="inlineStr">
        <is>
          <t/>
        </is>
      </c>
      <c r="CB10" s="218" t="inlineStr">
        <is>
          <t>Venture Capital</t>
        </is>
      </c>
      <c r="CC10" s="219" t="inlineStr">
        <is>
          <t>Loan</t>
        </is>
      </c>
      <c r="CD10" s="220" t="inlineStr">
        <is>
          <t/>
        </is>
      </c>
      <c r="CE10" s="221" t="inlineStr">
        <is>
          <t/>
        </is>
      </c>
      <c r="CF10" s="222" t="inlineStr">
        <is>
          <t>Completed</t>
        </is>
      </c>
      <c r="CG10" s="223" t="inlineStr">
        <is>
          <t>-4,27%</t>
        </is>
      </c>
      <c r="CH10" s="224" t="inlineStr">
        <is>
          <t>5</t>
        </is>
      </c>
      <c r="CI10" s="225" t="inlineStr">
        <is>
          <t>-0,06%</t>
        </is>
      </c>
      <c r="CJ10" s="226" t="inlineStr">
        <is>
          <t>-1,36%</t>
        </is>
      </c>
      <c r="CK10" s="227" t="inlineStr">
        <is>
          <t>-8,97%</t>
        </is>
      </c>
      <c r="CL10" s="228" t="inlineStr">
        <is>
          <t>4</t>
        </is>
      </c>
      <c r="CM10" s="229" t="inlineStr">
        <is>
          <t>0,43%</t>
        </is>
      </c>
      <c r="CN10" s="230" t="inlineStr">
        <is>
          <t>86</t>
        </is>
      </c>
      <c r="CO10" s="231" t="inlineStr">
        <is>
          <t>-17,85%</t>
        </is>
      </c>
      <c r="CP10" s="232" t="inlineStr">
        <is>
          <t>6</t>
        </is>
      </c>
      <c r="CQ10" s="233" t="inlineStr">
        <is>
          <t>-0,09%</t>
        </is>
      </c>
      <c r="CR10" s="234" t="inlineStr">
        <is>
          <t>20</t>
        </is>
      </c>
      <c r="CS10" s="235" t="inlineStr">
        <is>
          <t>0,37%</t>
        </is>
      </c>
      <c r="CT10" s="236" t="inlineStr">
        <is>
          <t>82</t>
        </is>
      </c>
      <c r="CU10" s="237" t="inlineStr">
        <is>
          <t>0,50%</t>
        </is>
      </c>
      <c r="CV10" s="238" t="inlineStr">
        <is>
          <t>91</t>
        </is>
      </c>
      <c r="CW10" s="239" t="inlineStr">
        <is>
          <t>77,76x</t>
        </is>
      </c>
      <c r="CX10" s="240" t="inlineStr">
        <is>
          <t>98</t>
        </is>
      </c>
      <c r="CY10" s="241" t="inlineStr">
        <is>
          <t>-0,27x</t>
        </is>
      </c>
      <c r="CZ10" s="242" t="inlineStr">
        <is>
          <t>-0,35%</t>
        </is>
      </c>
      <c r="DA10" s="243" t="inlineStr">
        <is>
          <t>77,33x</t>
        </is>
      </c>
      <c r="DB10" s="244" t="inlineStr">
        <is>
          <t>98</t>
        </is>
      </c>
      <c r="DC10" s="245" t="inlineStr">
        <is>
          <t>78,20x</t>
        </is>
      </c>
      <c r="DD10" s="246" t="inlineStr">
        <is>
          <t>96</t>
        </is>
      </c>
      <c r="DE10" s="247" t="inlineStr">
        <is>
          <t>49,52x</t>
        </is>
      </c>
      <c r="DF10" s="248" t="inlineStr">
        <is>
          <t>96</t>
        </is>
      </c>
      <c r="DG10" s="249" t="inlineStr">
        <is>
          <t>105,14x</t>
        </is>
      </c>
      <c r="DH10" s="250" t="inlineStr">
        <is>
          <t>99</t>
        </is>
      </c>
      <c r="DI10" s="251" t="inlineStr">
        <is>
          <t>155,84x</t>
        </is>
      </c>
      <c r="DJ10" s="252" t="inlineStr">
        <is>
          <t>96</t>
        </is>
      </c>
      <c r="DK10" s="253" t="inlineStr">
        <is>
          <t>0,56x</t>
        </is>
      </c>
      <c r="DL10" s="254" t="inlineStr">
        <is>
          <t>40</t>
        </is>
      </c>
      <c r="DM10" s="255" t="inlineStr">
        <is>
          <t>18.434</t>
        </is>
      </c>
      <c r="DN10" s="256" t="inlineStr">
        <is>
          <t>-314</t>
        </is>
      </c>
      <c r="DO10" s="257" t="inlineStr">
        <is>
          <t>-1,67%</t>
        </is>
      </c>
      <c r="DP10" s="258" t="inlineStr">
        <is>
          <t>123.331</t>
        </is>
      </c>
      <c r="DQ10" s="259" t="inlineStr">
        <is>
          <t>136</t>
        </is>
      </c>
      <c r="DR10" s="260" t="inlineStr">
        <is>
          <t>0,11%</t>
        </is>
      </c>
      <c r="DS10" s="261" t="inlineStr">
        <is>
          <t>3.786</t>
        </is>
      </c>
      <c r="DT10" s="262" t="inlineStr">
        <is>
          <t>-2</t>
        </is>
      </c>
      <c r="DU10" s="263" t="inlineStr">
        <is>
          <t>-0,05%</t>
        </is>
      </c>
      <c r="DV10" s="264" t="inlineStr">
        <is>
          <t>207</t>
        </is>
      </c>
      <c r="DW10" s="265" t="inlineStr">
        <is>
          <t>0</t>
        </is>
      </c>
      <c r="DX10" s="266" t="inlineStr">
        <is>
          <t>0,00%</t>
        </is>
      </c>
      <c r="DY10" s="267" t="inlineStr">
        <is>
          <t>PitchBook Research</t>
        </is>
      </c>
      <c r="DZ10" s="786">
        <f>HYPERLINK("https://my.pitchbook.com?c=54162-82", "View company online")</f>
      </c>
    </row>
    <row r="11">
      <c r="A11" s="9" t="inlineStr">
        <is>
          <t>42936-49</t>
        </is>
      </c>
      <c r="B11" s="10" t="inlineStr">
        <is>
          <t>Klarna</t>
        </is>
      </c>
      <c r="C11" s="11" t="inlineStr">
        <is>
          <t>Kreditor Europe</t>
        </is>
      </c>
      <c r="D11" s="12" t="inlineStr">
        <is>
          <t>Klarna Bank</t>
        </is>
      </c>
      <c r="E11" s="13" t="inlineStr">
        <is>
          <t>42936-49</t>
        </is>
      </c>
      <c r="F11" s="14" t="inlineStr">
        <is>
          <t>Provider of online payment services designed to make online shopping easy and hassle-free. The company's online payment services gives customers a real-time decision at the point of sale just by entering simple information and removes friction at point-of-sale, saving both time and money on administration, enabling e-commerce stores to improve their average order value as well as conversion, both in the short- and long term.</t>
        </is>
      </c>
      <c r="G11" s="15" t="inlineStr">
        <is>
          <t>Information Technology</t>
        </is>
      </c>
      <c r="H11" s="16" t="inlineStr">
        <is>
          <t>Software</t>
        </is>
      </c>
      <c r="I11" s="17" t="inlineStr">
        <is>
          <t>Vertical Market Software</t>
        </is>
      </c>
      <c r="J11" s="18" t="inlineStr">
        <is>
          <t>Vertical Market Software*; Financial Software; Social/Platform Software</t>
        </is>
      </c>
      <c r="K11" s="19" t="inlineStr">
        <is>
          <t>FinTech</t>
        </is>
      </c>
      <c r="L11" s="20" t="inlineStr">
        <is>
          <t>Private Equity-Backed</t>
        </is>
      </c>
      <c r="M11" s="21" t="n">
        <v>343.58</v>
      </c>
      <c r="N11" s="22" t="inlineStr">
        <is>
          <t>Profitable</t>
        </is>
      </c>
      <c r="O11" s="23" t="inlineStr">
        <is>
          <t>Privately Held (backing)</t>
        </is>
      </c>
      <c r="P11" s="24" t="inlineStr">
        <is>
          <t>Venture Capital, Private Equity</t>
        </is>
      </c>
      <c r="Q11" s="25" t="inlineStr">
        <is>
          <t>www.klarna.com</t>
        </is>
      </c>
      <c r="R11" s="26" t="n">
        <v>1700.0</v>
      </c>
      <c r="S11" s="27" t="inlineStr">
        <is>
          <t/>
        </is>
      </c>
      <c r="T11" s="28" t="inlineStr">
        <is>
          <t/>
        </is>
      </c>
      <c r="U11" s="29" t="n">
        <v>2005.0</v>
      </c>
      <c r="V11" s="30" t="inlineStr">
        <is>
          <t/>
        </is>
      </c>
      <c r="W11" s="31" t="inlineStr">
        <is>
          <t/>
        </is>
      </c>
      <c r="X11" s="32" t="inlineStr">
        <is>
          <t/>
        </is>
      </c>
      <c r="Y11" s="33" t="n">
        <v>404.89925</v>
      </c>
      <c r="Z11" s="34" t="inlineStr">
        <is>
          <t/>
        </is>
      </c>
      <c r="AA11" s="35" t="n">
        <v>45.03133</v>
      </c>
      <c r="AB11" s="36" t="inlineStr">
        <is>
          <t/>
        </is>
      </c>
      <c r="AC11" s="37" t="inlineStr">
        <is>
          <t/>
        </is>
      </c>
      <c r="AD11" s="38" t="inlineStr">
        <is>
          <t>FY 2017</t>
        </is>
      </c>
      <c r="AE11" s="39" t="inlineStr">
        <is>
          <t>33424-12P</t>
        </is>
      </c>
      <c r="AF11" s="40" t="inlineStr">
        <is>
          <t>Sebastian Siemiatkowski</t>
        </is>
      </c>
      <c r="AG11" s="41" t="inlineStr">
        <is>
          <t>Co-Founder, Chief Executive Officer and Board Member</t>
        </is>
      </c>
      <c r="AH11" s="42" t="inlineStr">
        <is>
          <t>sebastian.siemiatkowski@klarna.com</t>
        </is>
      </c>
      <c r="AI11" s="43" t="inlineStr">
        <is>
          <t/>
        </is>
      </c>
      <c r="AJ11" s="44" t="inlineStr">
        <is>
          <t>Stockholm, Sweden</t>
        </is>
      </c>
      <c r="AK11" s="45" t="inlineStr">
        <is>
          <t>Sveavagen 46</t>
        </is>
      </c>
      <c r="AL11" s="46" t="inlineStr">
        <is>
          <t/>
        </is>
      </c>
      <c r="AM11" s="47" t="inlineStr">
        <is>
          <t>Stockholm</t>
        </is>
      </c>
      <c r="AN11" s="48" t="inlineStr">
        <is>
          <t/>
        </is>
      </c>
      <c r="AO11" s="49" t="inlineStr">
        <is>
          <t>111 34</t>
        </is>
      </c>
      <c r="AP11" s="50" t="inlineStr">
        <is>
          <t>Sweden</t>
        </is>
      </c>
      <c r="AQ11" s="51" t="inlineStr">
        <is>
          <t/>
        </is>
      </c>
      <c r="AR11" s="52" t="inlineStr">
        <is>
          <t/>
        </is>
      </c>
      <c r="AS11" s="53" t="inlineStr">
        <is>
          <t>info@klarna.com</t>
        </is>
      </c>
      <c r="AT11" s="54" t="inlineStr">
        <is>
          <t>Europe</t>
        </is>
      </c>
      <c r="AU11" s="55" t="inlineStr">
        <is>
          <t>Northern Europe</t>
        </is>
      </c>
      <c r="AV11" s="56" t="inlineStr">
        <is>
          <t>General Atlantic, DST Global, Mail.Ru Group and Niklas Adalberth sold a 10% stake in the company to Permira for $250 million on August 23, 2017, valuing the company at $2.5 billion. Permira looks forward to supporting Klarna's future growth strategies as a unique scale fintech innovator and one of Europe's largest and fastest growing banks. Also, the company received an undisclosed amount of financing from Bestseller Group, Visa and Brightfolk on June 27, 2017. Earlier, the company raised $62.2 million of venture funding from Creandum, Sequoia Capital and other undisclosed investors on March 7, 2017. The company intends to use the funds to finance the acquisition of BillPay.</t>
        </is>
      </c>
      <c r="AW11" s="57" t="inlineStr">
        <is>
          <t>Atomico, Bestseller, Brightfolk, Creandum, Hartford Financial Services Group (Mutual Fund Business), Harvest Growth, Individual Investor, IVP, Klaus Hommels, Lakestar, Northzone Ventures, Panorama Point Partners, Partners Group, Permira, QED Investors, Sequoia Capital, SSE Business Lab, Sven Hagströmer, Tengelmann Ventures, Visa, Walerud Ventures, Wellcome Trust, Wellington Management Group</t>
        </is>
      </c>
      <c r="AX11" s="58" t="n">
        <v>23.0</v>
      </c>
      <c r="AY11" s="59" t="inlineStr">
        <is>
          <t/>
        </is>
      </c>
      <c r="AZ11" s="60" t="inlineStr">
        <is>
          <t>DST Global, General Atlantic, Investment AB Öresund, Mail.Ru Group</t>
        </is>
      </c>
      <c r="BA11" s="61" t="inlineStr">
        <is>
          <t/>
        </is>
      </c>
      <c r="BB11" s="62" t="inlineStr">
        <is>
          <t>Atomico (www.atomico.com), Bestseller (www.about.bestseller.com), Creandum (www.creandum.com), Hartford Financial Services Group (Mutual Fund Business) (www.hartfordfunds.com), IVP (www.ivp.com), Lakestar (www.lakestar.com), Northzone Ventures (www.northzone.com), Panorama Point Partners (www.panoramapoint.com), Partners Group (www.partnersgroup.com), Permira (www.permira.com), QED Investors (www.qedinvestors.com), Sequoia Capital (www.sequoiacap.com), SSE Business Lab (www.hhs.se), Tengelmann Ventures (www.tev.de), Visa (www.usa.visa.com), Walerud Ventures (www.walerud.com), Wellcome Trust (www.wellcome.ac.uk), Wellington Management Group (wellingtonmg.com)</t>
        </is>
      </c>
      <c r="BC11" s="63" t="inlineStr">
        <is>
          <t>DST Global (www.dst-global.com), General Atlantic (www.generalatlantic.com), Investment AB Öresund (www.oresund.se), Mail.Ru Group (corp.mail.ru)</t>
        </is>
      </c>
      <c r="BD11" s="64" t="inlineStr">
        <is>
          <t/>
        </is>
      </c>
      <c r="BE11" s="65" t="inlineStr">
        <is>
          <t/>
        </is>
      </c>
      <c r="BF11" s="66" t="inlineStr">
        <is>
          <t>Mannheimer Swartling (Legal Advisor), GLIMSTEDT (Legal Advisor), Fried Frank Harris Shriver &amp; Jacobson (Legal Advisor), Gentry Financial Corporation (Advisor: General), Corestar Partners (Advisor: General)</t>
        </is>
      </c>
      <c r="BG11" s="67" t="n">
        <v>39423.0</v>
      </c>
      <c r="BH11" s="68" t="n">
        <v>3.18</v>
      </c>
      <c r="BI11" s="69" t="inlineStr">
        <is>
          <t>Actual</t>
        </is>
      </c>
      <c r="BJ11" s="70" t="inlineStr">
        <is>
          <t/>
        </is>
      </c>
      <c r="BK11" s="71" t="inlineStr">
        <is>
          <t/>
        </is>
      </c>
      <c r="BL11" s="72" t="inlineStr">
        <is>
          <t>Early Stage VC</t>
        </is>
      </c>
      <c r="BM11" s="73" t="inlineStr">
        <is>
          <t/>
        </is>
      </c>
      <c r="BN11" s="74" t="inlineStr">
        <is>
          <t/>
        </is>
      </c>
      <c r="BO11" s="75" t="inlineStr">
        <is>
          <t>Venture Capital</t>
        </is>
      </c>
      <c r="BP11" s="76" t="inlineStr">
        <is>
          <t/>
        </is>
      </c>
      <c r="BQ11" s="77" t="inlineStr">
        <is>
          <t/>
        </is>
      </c>
      <c r="BR11" s="78" t="inlineStr">
        <is>
          <t/>
        </is>
      </c>
      <c r="BS11" s="79" t="inlineStr">
        <is>
          <t>Completed</t>
        </is>
      </c>
      <c r="BT11" s="80" t="n">
        <v>42970.0</v>
      </c>
      <c r="BU11" s="81" t="n">
        <v>211.65</v>
      </c>
      <c r="BV11" s="82" t="inlineStr">
        <is>
          <t>Estimated</t>
        </is>
      </c>
      <c r="BW11" s="83" t="n">
        <v>2116.45</v>
      </c>
      <c r="BX11" s="84" t="inlineStr">
        <is>
          <t>Estimated</t>
        </is>
      </c>
      <c r="BY11" s="85" t="inlineStr">
        <is>
          <t>Secondary Transaction - Private</t>
        </is>
      </c>
      <c r="BZ11" s="86" t="inlineStr">
        <is>
          <t/>
        </is>
      </c>
      <c r="CA11" s="87" t="inlineStr">
        <is>
          <t/>
        </is>
      </c>
      <c r="CB11" s="88" t="inlineStr">
        <is>
          <t>Private Equity</t>
        </is>
      </c>
      <c r="CC11" s="89" t="inlineStr">
        <is>
          <t/>
        </is>
      </c>
      <c r="CD11" s="90" t="inlineStr">
        <is>
          <t/>
        </is>
      </c>
      <c r="CE11" s="91" t="inlineStr">
        <is>
          <t/>
        </is>
      </c>
      <c r="CF11" s="92" t="inlineStr">
        <is>
          <t>Completed</t>
        </is>
      </c>
      <c r="CG11" s="93" t="inlineStr">
        <is>
          <t>-2,85%</t>
        </is>
      </c>
      <c r="CH11" s="94" t="inlineStr">
        <is>
          <t>7</t>
        </is>
      </c>
      <c r="CI11" s="95" t="inlineStr">
        <is>
          <t>-0,29%</t>
        </is>
      </c>
      <c r="CJ11" s="96" t="inlineStr">
        <is>
          <t>-11,16%</t>
        </is>
      </c>
      <c r="CK11" s="97" t="inlineStr">
        <is>
          <t>-12,13%</t>
        </is>
      </c>
      <c r="CL11" s="98" t="inlineStr">
        <is>
          <t>2</t>
        </is>
      </c>
      <c r="CM11" s="99" t="inlineStr">
        <is>
          <t>3,08%</t>
        </is>
      </c>
      <c r="CN11" s="100" t="inlineStr">
        <is>
          <t>100</t>
        </is>
      </c>
      <c r="CO11" s="101" t="inlineStr">
        <is>
          <t>-24,94%</t>
        </is>
      </c>
      <c r="CP11" s="102" t="inlineStr">
        <is>
          <t>3</t>
        </is>
      </c>
      <c r="CQ11" s="103" t="inlineStr">
        <is>
          <t>0,67%</t>
        </is>
      </c>
      <c r="CR11" s="104" t="inlineStr">
        <is>
          <t>92</t>
        </is>
      </c>
      <c r="CS11" s="105" t="inlineStr">
        <is>
          <t>5,52%</t>
        </is>
      </c>
      <c r="CT11" s="106" t="inlineStr">
        <is>
          <t>100</t>
        </is>
      </c>
      <c r="CU11" s="107" t="inlineStr">
        <is>
          <t>0,64%</t>
        </is>
      </c>
      <c r="CV11" s="108" t="inlineStr">
        <is>
          <t>93</t>
        </is>
      </c>
      <c r="CW11" s="109" t="inlineStr">
        <is>
          <t>69,26x</t>
        </is>
      </c>
      <c r="CX11" s="110" t="inlineStr">
        <is>
          <t>97</t>
        </is>
      </c>
      <c r="CY11" s="111" t="inlineStr">
        <is>
          <t>0,18x</t>
        </is>
      </c>
      <c r="CZ11" s="112" t="inlineStr">
        <is>
          <t>0,26%</t>
        </is>
      </c>
      <c r="DA11" s="113" t="inlineStr">
        <is>
          <t>142,71x</t>
        </is>
      </c>
      <c r="DB11" s="114" t="inlineStr">
        <is>
          <t>99</t>
        </is>
      </c>
      <c r="DC11" s="115" t="inlineStr">
        <is>
          <t>59,10x</t>
        </is>
      </c>
      <c r="DD11" s="116" t="inlineStr">
        <is>
          <t>95</t>
        </is>
      </c>
      <c r="DE11" s="117" t="inlineStr">
        <is>
          <t>52,75x</t>
        </is>
      </c>
      <c r="DF11" s="118" t="inlineStr">
        <is>
          <t>96</t>
        </is>
      </c>
      <c r="DG11" s="119" t="inlineStr">
        <is>
          <t>232,67x</t>
        </is>
      </c>
      <c r="DH11" s="120" t="inlineStr">
        <is>
          <t>100</t>
        </is>
      </c>
      <c r="DI11" s="121" t="inlineStr">
        <is>
          <t>98,71x</t>
        </is>
      </c>
      <c r="DJ11" s="122" t="inlineStr">
        <is>
          <t>95</t>
        </is>
      </c>
      <c r="DK11" s="123" t="inlineStr">
        <is>
          <t>19,50x</t>
        </is>
      </c>
      <c r="DL11" s="124" t="inlineStr">
        <is>
          <t>92</t>
        </is>
      </c>
      <c r="DM11" s="125" t="inlineStr">
        <is>
          <t>19.559</t>
        </is>
      </c>
      <c r="DN11" s="126" t="inlineStr">
        <is>
          <t>56</t>
        </is>
      </c>
      <c r="DO11" s="127" t="inlineStr">
        <is>
          <t>0,29%</t>
        </is>
      </c>
      <c r="DP11" s="128" t="inlineStr">
        <is>
          <t>78.031</t>
        </is>
      </c>
      <c r="DQ11" s="129" t="inlineStr">
        <is>
          <t>330</t>
        </is>
      </c>
      <c r="DR11" s="130" t="inlineStr">
        <is>
          <t>0,42%</t>
        </is>
      </c>
      <c r="DS11" s="131" t="inlineStr">
        <is>
          <t>8.352</t>
        </is>
      </c>
      <c r="DT11" s="132" t="inlineStr">
        <is>
          <t>54</t>
        </is>
      </c>
      <c r="DU11" s="133" t="inlineStr">
        <is>
          <t>0,65%</t>
        </is>
      </c>
      <c r="DV11" s="134" t="inlineStr">
        <is>
          <t>7.274</t>
        </is>
      </c>
      <c r="DW11" s="135" t="inlineStr">
        <is>
          <t>54</t>
        </is>
      </c>
      <c r="DX11" s="136" t="inlineStr">
        <is>
          <t>0,75%</t>
        </is>
      </c>
      <c r="DY11" s="137" t="inlineStr">
        <is>
          <t>PitchBook Research</t>
        </is>
      </c>
      <c r="DZ11" s="785">
        <f>HYPERLINK("https://my.pitchbook.com?c=42936-49", "View company online")</f>
      </c>
    </row>
    <row r="12">
      <c r="A12" s="139" t="inlineStr">
        <is>
          <t>54280-18</t>
        </is>
      </c>
      <c r="B12" s="140" t="inlineStr">
        <is>
          <t>TransferWise</t>
        </is>
      </c>
      <c r="C12" s="141" t="inlineStr">
        <is>
          <t/>
        </is>
      </c>
      <c r="D12" s="142" t="inlineStr">
        <is>
          <t/>
        </is>
      </c>
      <c r="E12" s="143" t="inlineStr">
        <is>
          <t>54280-18</t>
        </is>
      </c>
      <c r="F12" s="144" t="inlineStr">
        <is>
          <t>Provider of money transferring platform designed to send money abroad. The company's money transferring platform offers real-time exchange rates and enables its clients to transfer and track money through mobile applications, providing them with a cost efficient platform.</t>
        </is>
      </c>
      <c r="G12" s="145" t="inlineStr">
        <is>
          <t>Financial Services</t>
        </is>
      </c>
      <c r="H12" s="146" t="inlineStr">
        <is>
          <t>Other Financial Services</t>
        </is>
      </c>
      <c r="I12" s="147" t="inlineStr">
        <is>
          <t>Other Financial Services</t>
        </is>
      </c>
      <c r="J12" s="148" t="inlineStr">
        <is>
          <t>Other Financial Services*; Application Software; Financial Software</t>
        </is>
      </c>
      <c r="K12" s="149" t="inlineStr">
        <is>
          <t>FinTech, Mobile</t>
        </is>
      </c>
      <c r="L12" s="150" t="inlineStr">
        <is>
          <t>Venture Capital-Backed</t>
        </is>
      </c>
      <c r="M12" s="151" t="n">
        <v>336.0</v>
      </c>
      <c r="N12" s="152" t="inlineStr">
        <is>
          <t>Profitable</t>
        </is>
      </c>
      <c r="O12" s="153" t="inlineStr">
        <is>
          <t>Privately Held (backing)</t>
        </is>
      </c>
      <c r="P12" s="154" t="inlineStr">
        <is>
          <t>Venture Capital</t>
        </is>
      </c>
      <c r="Q12" s="155" t="inlineStr">
        <is>
          <t>www.transferwise.com</t>
        </is>
      </c>
      <c r="R12" s="156" t="n">
        <v>800.0</v>
      </c>
      <c r="S12" s="157" t="inlineStr">
        <is>
          <t/>
        </is>
      </c>
      <c r="T12" s="158" t="inlineStr">
        <is>
          <t/>
        </is>
      </c>
      <c r="U12" s="159" t="n">
        <v>2010.0</v>
      </c>
      <c r="V12" s="160" t="inlineStr">
        <is>
          <t/>
        </is>
      </c>
      <c r="W12" s="161" t="inlineStr">
        <is>
          <r>
            <rPr>
              <b/>
              <color rgb="ff26854d"/>
              <rFont val="Arial"/>
              <sz val="8.0"/>
            </rPr>
            <t>News</t>
          </r>
          <r>
            <rPr>
              <color rgb="ff707070"/>
              <rFont val="Arial"/>
              <sz val="7.0"/>
            </rPr>
            <t xml:space="preserve"> NEW  </t>
          </r>
        </is>
      </c>
      <c r="X12" s="162" t="inlineStr">
        <is>
          <r>
            <rPr>
              <b/>
              <color rgb="ff26854d"/>
              <rFont val="Arial"/>
              <sz val="8.0"/>
            </rPr>
            <t>News</t>
          </r>
          <r>
            <rPr>
              <color rgb="ff707070"/>
              <rFont val="Arial"/>
              <sz val="7.0"/>
            </rPr>
            <t xml:space="preserve"> NEW  </t>
          </r>
        </is>
      </c>
      <c r="Y12" s="163" t="n">
        <v>85.045</v>
      </c>
      <c r="Z12" s="164" t="inlineStr">
        <is>
          <t/>
        </is>
      </c>
      <c r="AA12" s="165" t="inlineStr">
        <is>
          <t/>
        </is>
      </c>
      <c r="AB12" s="166" t="inlineStr">
        <is>
          <t/>
        </is>
      </c>
      <c r="AC12" s="167" t="inlineStr">
        <is>
          <t/>
        </is>
      </c>
      <c r="AD12" s="168" t="inlineStr">
        <is>
          <t>FY 2018</t>
        </is>
      </c>
      <c r="AE12" s="169" t="inlineStr">
        <is>
          <t>41119-48P</t>
        </is>
      </c>
      <c r="AF12" s="170" t="inlineStr">
        <is>
          <t>Kristo Kaarmann</t>
        </is>
      </c>
      <c r="AG12" s="171" t="inlineStr">
        <is>
          <t>Co-Founder &amp; Chief Executive Officer</t>
        </is>
      </c>
      <c r="AH12" s="172" t="inlineStr">
        <is>
          <t>kristo@transferwise.com</t>
        </is>
      </c>
      <c r="AI12" s="173" t="inlineStr">
        <is>
          <t>+44 (0)20 3695 0999</t>
        </is>
      </c>
      <c r="AJ12" s="174" t="inlineStr">
        <is>
          <t>London, United Kingdom</t>
        </is>
      </c>
      <c r="AK12" s="175" t="inlineStr">
        <is>
          <t>186-188 City Road</t>
        </is>
      </c>
      <c r="AL12" s="176" t="inlineStr">
        <is>
          <t>Floor 2nd</t>
        </is>
      </c>
      <c r="AM12" s="177" t="inlineStr">
        <is>
          <t>London</t>
        </is>
      </c>
      <c r="AN12" s="178" t="inlineStr">
        <is>
          <t>England</t>
        </is>
      </c>
      <c r="AO12" s="179" t="inlineStr">
        <is>
          <t>EC1V 2NT</t>
        </is>
      </c>
      <c r="AP12" s="180" t="inlineStr">
        <is>
          <t>United Kingdom</t>
        </is>
      </c>
      <c r="AQ12" s="181" t="inlineStr">
        <is>
          <t>+44 (0)20 3695 0999</t>
        </is>
      </c>
      <c r="AR12" s="182" t="inlineStr">
        <is>
          <t/>
        </is>
      </c>
      <c r="AS12" s="183" t="inlineStr">
        <is>
          <t/>
        </is>
      </c>
      <c r="AT12" s="184" t="inlineStr">
        <is>
          <t>Europe</t>
        </is>
      </c>
      <c r="AU12" s="185" t="inlineStr">
        <is>
          <t>Western Europe</t>
        </is>
      </c>
      <c r="AV12" s="186" t="inlineStr">
        <is>
          <t>The company raised $280 million of Series E venture funding in a deal led by Old Mutual Global Investors and Institutional Venture Partners on November 1, 2017, putting the company's valuation at $1.6 billion. Sapphire Ventures, Mitsui &amp; Company, World Innovation Lab (WiL), Richard Branson, Andreessen Horowitz and Baillie Gifford also participated in the round. The funds will be used to develop new products, expand across Asia-Pacific and develop borderless bank account &amp; card for Europe in 2018 that lets businesses store money in different currencies. To date the company has raised $397 million.</t>
        </is>
      </c>
      <c r="AW12" s="187" t="inlineStr">
        <is>
          <t>ACE &amp; Company, Andreessen Horowitz, Anil Hansjee, Baillie Gifford, Benjamin Horowitz, Carlos Espinal, Daydreamer Fund, Firestartr, IA Ventures, Index Ventures (UK), IVP, Jared Hecht, Jérémie Berrebi, Kima Ventures, LocalGlobe, Max Levchin, Meyer Malka, Mitsui &amp; Company, Old Mutual Global Investors, Passion Capital, Proton Enterprises, Richard Branson, Robin Klein, Roger Ehrenberg, Sapphire Ventures, Saul Klein, Seedcamp, Steve Martocci, SV Angel, The Acceleration Group, The International Conclave of Entrepreneurs, Valar Ventures, Vikram Pandit, Virgin.com, WiL (World Innovation Lab)</t>
        </is>
      </c>
      <c r="AX12" s="188" t="n">
        <v>35.0</v>
      </c>
      <c r="AY12" s="189" t="inlineStr">
        <is>
          <t/>
        </is>
      </c>
      <c r="AZ12" s="190" t="inlineStr">
        <is>
          <t>Mosaic Ventures</t>
        </is>
      </c>
      <c r="BA12" s="191" t="inlineStr">
        <is>
          <t/>
        </is>
      </c>
      <c r="BB12" s="192" t="inlineStr">
        <is>
          <t>ACE &amp; Company (www.aceandcompany.com), Andreessen Horowitz (www.a16z.com), Anil Hansjee (about.me), Baillie Gifford (www.bailliegifford.com), Benjamin Horowitz (www.bhorowitz.com), Daydreamer Fund (www.daydreamerfund.com), Firestartr (www.firestartr.co), IA Ventures (www.iaventures.com), Index Ventures (UK) (www.indexventures.com), IVP (www.ivp.com), Jérémie Berrebi (www.berrebi.org), Kima Ventures (www.kimaventures.com), LocalGlobe (www.localglobe.vc), Max Levchin (www.levchin.com), Mitsui &amp; Company (www.mitsui.com), Old Mutual Global Investors (www.omglobalinvestors.com), Passion Capital (www.passioncapital.com), Proton Enterprises (www.protonenterprises.com), Robin Klein (www.the-accelerator.blogspot.com), Sapphire Ventures (www.sapphireventures.com), Seedcamp (www.seedcamp.com), SV Angel (www.svangel.com), The Acceleration Group (www.acceleration-group.com), The International Conclave of Entrepreneurs (www.icelist.eu), Valar Ventures (www.valarventures.com), Virgin.com (www.virgin.com), WiL (World Innovation Lab) (www.wilab.com)</t>
        </is>
      </c>
      <c r="BC12" s="193" t="inlineStr">
        <is>
          <t>Mosaic Ventures (www.mosaicventures.com)</t>
        </is>
      </c>
      <c r="BD12" s="194" t="inlineStr">
        <is>
          <t/>
        </is>
      </c>
      <c r="BE12" s="195" t="inlineStr">
        <is>
          <t>Future Fifty (Consulting), Gunderson Dettmer (Legal Advisor)</t>
        </is>
      </c>
      <c r="BF12" s="196" t="inlineStr">
        <is>
          <t>JAG Shaw Baker (Legal Advisor)</t>
        </is>
      </c>
      <c r="BG12" s="197" t="n">
        <v>41016.0</v>
      </c>
      <c r="BH12" s="198" t="n">
        <v>1.01</v>
      </c>
      <c r="BI12" s="199" t="inlineStr">
        <is>
          <t>Actual</t>
        </is>
      </c>
      <c r="BJ12" s="200" t="n">
        <v>3.91</v>
      </c>
      <c r="BK12" s="201" t="inlineStr">
        <is>
          <t>Actual</t>
        </is>
      </c>
      <c r="BL12" s="202" t="inlineStr">
        <is>
          <t>Seed Round</t>
        </is>
      </c>
      <c r="BM12" s="203" t="inlineStr">
        <is>
          <t>Seed</t>
        </is>
      </c>
      <c r="BN12" s="204" t="inlineStr">
        <is>
          <t/>
        </is>
      </c>
      <c r="BO12" s="205" t="inlineStr">
        <is>
          <t>Venture Capital</t>
        </is>
      </c>
      <c r="BP12" s="206" t="inlineStr">
        <is>
          <t/>
        </is>
      </c>
      <c r="BQ12" s="207" t="inlineStr">
        <is>
          <t/>
        </is>
      </c>
      <c r="BR12" s="208" t="inlineStr">
        <is>
          <t/>
        </is>
      </c>
      <c r="BS12" s="209" t="inlineStr">
        <is>
          <t>Completed</t>
        </is>
      </c>
      <c r="BT12" s="210" t="n">
        <v>43040.0</v>
      </c>
      <c r="BU12" s="211" t="n">
        <v>238.13</v>
      </c>
      <c r="BV12" s="212" t="inlineStr">
        <is>
          <t>Actual</t>
        </is>
      </c>
      <c r="BW12" s="213" t="n">
        <v>1360.72</v>
      </c>
      <c r="BX12" s="214" t="inlineStr">
        <is>
          <t>Actual</t>
        </is>
      </c>
      <c r="BY12" s="215" t="inlineStr">
        <is>
          <t>Later Stage VC</t>
        </is>
      </c>
      <c r="BZ12" s="216" t="inlineStr">
        <is>
          <t>Series E</t>
        </is>
      </c>
      <c r="CA12" s="217" t="inlineStr">
        <is>
          <t/>
        </is>
      </c>
      <c r="CB12" s="218" t="inlineStr">
        <is>
          <t>Venture Capital</t>
        </is>
      </c>
      <c r="CC12" s="219" t="inlineStr">
        <is>
          <t/>
        </is>
      </c>
      <c r="CD12" s="220" t="inlineStr">
        <is>
          <t/>
        </is>
      </c>
      <c r="CE12" s="221" t="inlineStr">
        <is>
          <t/>
        </is>
      </c>
      <c r="CF12" s="222" t="inlineStr">
        <is>
          <t>Completed</t>
        </is>
      </c>
      <c r="CG12" s="223" t="inlineStr">
        <is>
          <t>2,86%</t>
        </is>
      </c>
      <c r="CH12" s="224" t="inlineStr">
        <is>
          <t>99</t>
        </is>
      </c>
      <c r="CI12" s="225" t="inlineStr">
        <is>
          <t>0,39%</t>
        </is>
      </c>
      <c r="CJ12" s="226" t="inlineStr">
        <is>
          <t>15,91%</t>
        </is>
      </c>
      <c r="CK12" s="227" t="inlineStr">
        <is>
          <t>-9,29%</t>
        </is>
      </c>
      <c r="CL12" s="228" t="inlineStr">
        <is>
          <t>4</t>
        </is>
      </c>
      <c r="CM12" s="229" t="inlineStr">
        <is>
          <t>0,41%</t>
        </is>
      </c>
      <c r="CN12" s="230" t="inlineStr">
        <is>
          <t>86</t>
        </is>
      </c>
      <c r="CO12" s="231" t="inlineStr">
        <is>
          <t>-18,65%</t>
        </is>
      </c>
      <c r="CP12" s="232" t="inlineStr">
        <is>
          <t>6</t>
        </is>
      </c>
      <c r="CQ12" s="233" t="inlineStr">
        <is>
          <t>0,07%</t>
        </is>
      </c>
      <c r="CR12" s="234" t="inlineStr">
        <is>
          <t>89</t>
        </is>
      </c>
      <c r="CS12" s="235" t="inlineStr">
        <is>
          <t>0,38%</t>
        </is>
      </c>
      <c r="CT12" s="236" t="inlineStr">
        <is>
          <t>82</t>
        </is>
      </c>
      <c r="CU12" s="237" t="inlineStr">
        <is>
          <t>0,45%</t>
        </is>
      </c>
      <c r="CV12" s="238" t="inlineStr">
        <is>
          <t>89</t>
        </is>
      </c>
      <c r="CW12" s="239" t="inlineStr">
        <is>
          <t>180,43x</t>
        </is>
      </c>
      <c r="CX12" s="240" t="inlineStr">
        <is>
          <t>99</t>
        </is>
      </c>
      <c r="CY12" s="241" t="inlineStr">
        <is>
          <t>4,66x</t>
        </is>
      </c>
      <c r="CZ12" s="242" t="inlineStr">
        <is>
          <t>2,65%</t>
        </is>
      </c>
      <c r="DA12" s="243" t="inlineStr">
        <is>
          <t>313,04x</t>
        </is>
      </c>
      <c r="DB12" s="244" t="inlineStr">
        <is>
          <t>100</t>
        </is>
      </c>
      <c r="DC12" s="245" t="inlineStr">
        <is>
          <t>274,17x</t>
        </is>
      </c>
      <c r="DD12" s="246" t="inlineStr">
        <is>
          <t>99</t>
        </is>
      </c>
      <c r="DE12" s="247" t="inlineStr">
        <is>
          <t>592,06x</t>
        </is>
      </c>
      <c r="DF12" s="248" t="inlineStr">
        <is>
          <t>100</t>
        </is>
      </c>
      <c r="DG12" s="249" t="inlineStr">
        <is>
          <t>34,03x</t>
        </is>
      </c>
      <c r="DH12" s="250" t="inlineStr">
        <is>
          <t>96</t>
        </is>
      </c>
      <c r="DI12" s="251" t="inlineStr">
        <is>
          <t>437,83x</t>
        </is>
      </c>
      <c r="DJ12" s="252" t="inlineStr">
        <is>
          <t>99</t>
        </is>
      </c>
      <c r="DK12" s="253" t="inlineStr">
        <is>
          <t>110,51x</t>
        </is>
      </c>
      <c r="DL12" s="254" t="inlineStr">
        <is>
          <t>98</t>
        </is>
      </c>
      <c r="DM12" s="255" t="inlineStr">
        <is>
          <t>219.662</t>
        </is>
      </c>
      <c r="DN12" s="256" t="inlineStr">
        <is>
          <t>-36</t>
        </is>
      </c>
      <c r="DO12" s="257" t="inlineStr">
        <is>
          <t>-0,02%</t>
        </is>
      </c>
      <c r="DP12" s="258" t="inlineStr">
        <is>
          <t>346.300</t>
        </is>
      </c>
      <c r="DQ12" s="259" t="inlineStr">
        <is>
          <t>1.124</t>
        </is>
      </c>
      <c r="DR12" s="260" t="inlineStr">
        <is>
          <t>0,33%</t>
        </is>
      </c>
      <c r="DS12" s="261" t="inlineStr">
        <is>
          <t>1.224</t>
        </is>
      </c>
      <c r="DT12" s="262" t="inlineStr">
        <is>
          <t>0</t>
        </is>
      </c>
      <c r="DU12" s="263" t="inlineStr">
        <is>
          <t>0,00%</t>
        </is>
      </c>
      <c r="DV12" s="264" t="inlineStr">
        <is>
          <t>41.267</t>
        </is>
      </c>
      <c r="DW12" s="265" t="inlineStr">
        <is>
          <t>218</t>
        </is>
      </c>
      <c r="DX12" s="266" t="inlineStr">
        <is>
          <t>0,53%</t>
        </is>
      </c>
      <c r="DY12" s="267" t="inlineStr">
        <is>
          <t>PitchBook Research</t>
        </is>
      </c>
      <c r="DZ12" s="786">
        <f>HYPERLINK("https://my.pitchbook.com?c=54280-18", "View company online")</f>
      </c>
    </row>
    <row r="13">
      <c r="A13" s="9" t="inlineStr">
        <is>
          <t>52923-70</t>
        </is>
      </c>
      <c r="B13" s="10" t="inlineStr">
        <is>
          <t>SoundCloud</t>
        </is>
      </c>
      <c r="C13" s="11" t="inlineStr">
        <is>
          <t/>
        </is>
      </c>
      <c r="D13" s="12" t="inlineStr">
        <is>
          <t/>
        </is>
      </c>
      <c r="E13" s="13" t="inlineStr">
        <is>
          <t>52923-70</t>
        </is>
      </c>
      <c r="F13" s="14" t="inlineStr">
        <is>
          <t>Developer of a music streaming services platform designed to help creators post and share music and other audio files. The company's music streaming services platform facilitates in uploading, recording, promoting and sharing originally created sounds to share music privately with their friends or publicly to blogs, sites and social networks enabling them to distribute their work as well as the consumers to discover it.</t>
        </is>
      </c>
      <c r="G13" s="15" t="inlineStr">
        <is>
          <t>Information Technology</t>
        </is>
      </c>
      <c r="H13" s="16" t="inlineStr">
        <is>
          <t>Software</t>
        </is>
      </c>
      <c r="I13" s="17" t="inlineStr">
        <is>
          <t>Application Software</t>
        </is>
      </c>
      <c r="J13" s="18" t="inlineStr">
        <is>
          <t>Application Software*; Multimedia and Design Software</t>
        </is>
      </c>
      <c r="K13" s="19" t="inlineStr">
        <is>
          <t>AudioTech, Mobile, SaaS</t>
        </is>
      </c>
      <c r="L13" s="20" t="inlineStr">
        <is>
          <t>Venture Capital-Backed</t>
        </is>
      </c>
      <c r="M13" s="21" t="n">
        <v>335.75</v>
      </c>
      <c r="N13" s="22" t="inlineStr">
        <is>
          <t>Generating Revenue/Not Profitable</t>
        </is>
      </c>
      <c r="O13" s="23" t="inlineStr">
        <is>
          <t>Privately Held (backing)</t>
        </is>
      </c>
      <c r="P13" s="24" t="inlineStr">
        <is>
          <t>Venture Capital, M&amp;A</t>
        </is>
      </c>
      <c r="Q13" s="25" t="inlineStr">
        <is>
          <t>www.soundcloud.com</t>
        </is>
      </c>
      <c r="R13" s="26" t="n">
        <v>127.0</v>
      </c>
      <c r="S13" s="27" t="inlineStr">
        <is>
          <t/>
        </is>
      </c>
      <c r="T13" s="28" t="inlineStr">
        <is>
          <t/>
        </is>
      </c>
      <c r="U13" s="29" t="n">
        <v>2007.0</v>
      </c>
      <c r="V13" s="30" t="inlineStr">
        <is>
          <t/>
        </is>
      </c>
      <c r="W13" s="31" t="inlineStr">
        <is>
          <t/>
        </is>
      </c>
      <c r="X13" s="32" t="inlineStr">
        <is>
          <t/>
        </is>
      </c>
      <c r="Y13" s="33" t="n">
        <v>85.045</v>
      </c>
      <c r="Z13" s="34" t="inlineStr">
        <is>
          <t/>
        </is>
      </c>
      <c r="AA13" s="35" t="inlineStr">
        <is>
          <t/>
        </is>
      </c>
      <c r="AB13" s="36" t="inlineStr">
        <is>
          <t/>
        </is>
      </c>
      <c r="AC13" s="37" t="inlineStr">
        <is>
          <t/>
        </is>
      </c>
      <c r="AD13" s="38" t="inlineStr">
        <is>
          <t>FY 2017</t>
        </is>
      </c>
      <c r="AE13" s="39" t="inlineStr">
        <is>
          <t>38956-87P</t>
        </is>
      </c>
      <c r="AF13" s="40" t="inlineStr">
        <is>
          <t>Alexander Ljung</t>
        </is>
      </c>
      <c r="AG13" s="41" t="inlineStr">
        <is>
          <t>Chairman &amp; Co-Founder</t>
        </is>
      </c>
      <c r="AH13" s="42" t="inlineStr">
        <is>
          <t>alexander@soundcloud.com</t>
        </is>
      </c>
      <c r="AI13" s="43" t="inlineStr">
        <is>
          <t>+49 (0)30 4672 4760 0</t>
        </is>
      </c>
      <c r="AJ13" s="44" t="inlineStr">
        <is>
          <t>Berlin, Germany</t>
        </is>
      </c>
      <c r="AK13" s="45" t="inlineStr">
        <is>
          <t>Rheinsberger Straße 76/77</t>
        </is>
      </c>
      <c r="AL13" s="46" t="inlineStr">
        <is>
          <t/>
        </is>
      </c>
      <c r="AM13" s="47" t="inlineStr">
        <is>
          <t>Berlin</t>
        </is>
      </c>
      <c r="AN13" s="48" t="inlineStr">
        <is>
          <t/>
        </is>
      </c>
      <c r="AO13" s="49" t="inlineStr">
        <is>
          <t>10115</t>
        </is>
      </c>
      <c r="AP13" s="50" t="inlineStr">
        <is>
          <t>Germany</t>
        </is>
      </c>
      <c r="AQ13" s="51" t="inlineStr">
        <is>
          <t>+49 (0)30 4672 4760 0</t>
        </is>
      </c>
      <c r="AR13" s="52" t="inlineStr">
        <is>
          <t/>
        </is>
      </c>
      <c r="AS13" s="53" t="inlineStr">
        <is>
          <t>contact@soundcloud.com</t>
        </is>
      </c>
      <c r="AT13" s="54" t="inlineStr">
        <is>
          <t>Europe</t>
        </is>
      </c>
      <c r="AU13" s="55" t="inlineStr">
        <is>
          <t>Western Europe</t>
        </is>
      </c>
      <c r="AV13" s="56" t="inlineStr">
        <is>
          <t>The company raised $169.5 million of Series F venture funding from lead investors The Raine Group and Temasek on August 11, 2017, valuing the company at $319.5 million. Ares Capital and other existing investors also participated in the round. The funds will be used for development and marketing of its core tools.</t>
        </is>
      </c>
      <c r="AW13" s="57" t="inlineStr">
        <is>
          <t>A-Grade Investments, Ares Capital, Atlantic Labs, Cayuga Venture Fund, Christophe Maire, DH Private Equity Partners, Eniac Ventures, German Startups Group, GGV Capital, Index Ventures (UK), IVP, Kleiner Perkins Caufield &amp; Byers, Nihal Mehta, Spotify, Temasek Holdings, The Chernin Group, The Raine Group, Twitter Ventures, Union Square Ventures</t>
        </is>
      </c>
      <c r="AX13" s="58" t="n">
        <v>19.0</v>
      </c>
      <c r="AY13" s="59" t="inlineStr">
        <is>
          <t/>
        </is>
      </c>
      <c r="AZ13" s="60" t="inlineStr">
        <is>
          <t>Kreos Capital</t>
        </is>
      </c>
      <c r="BA13" s="61" t="inlineStr">
        <is>
          <t/>
        </is>
      </c>
      <c r="BB13" s="62" t="inlineStr">
        <is>
          <t>A-Grade Investments (www.agradeinvestments.com), Ares Capital (www.arescapitalcorp.com), Atlantic Labs (www.atlanticlabs.de), Cayuga Venture Fund (www.cayugaventures.com), DH Private Equity Partners (www.dhpep.com), Eniac Ventures (www.eniac.vc), German Startups Group (www.german-startups.com), GGV Capital (www.ggvc.com), Index Ventures (UK) (www.indexventures.com), IVP (www.ivp.com), Kleiner Perkins Caufield &amp; Byers (www.kpcb.com), Spotify (www.spotify.com), Temasek Holdings (www.temasek.com.sg), The Raine Group (www.raine.com), Twitter Ventures (www.twitterventures.com), Union Square Ventures (www.usv.com)</t>
        </is>
      </c>
      <c r="BC13" s="63" t="inlineStr">
        <is>
          <t>Kreos Capital (www.kreoscapital.com)</t>
        </is>
      </c>
      <c r="BD13" s="64" t="inlineStr">
        <is>
          <t/>
        </is>
      </c>
      <c r="BE13" s="65" t="inlineStr">
        <is>
          <t>Calibre One (Consulting), Deutsche Bank (General Business Banking), EY (Auditor), Deutsche Bank (Advisor: General), Daversa Partners (Consulting), KPMG (Auditor)</t>
        </is>
      </c>
      <c r="BF13" s="66" t="inlineStr">
        <is>
          <t>Allen &amp; Company (Advisor: General), JAG Shaw Baker (Legal Advisor), Davidson Technology Growth Debt (Debt Financing), Tennenbaum Capital Partners (Debt Financing), TCP Capital (Debt Financing), Kreos Capital (Debt Financing), Armentum Partners (Advisor: General), Ares Capital (Debt Financing)</t>
        </is>
      </c>
      <c r="BG13" s="67" t="n">
        <v>39918.0</v>
      </c>
      <c r="BH13" s="68" t="n">
        <v>2.5</v>
      </c>
      <c r="BI13" s="69" t="inlineStr">
        <is>
          <t>Actual</t>
        </is>
      </c>
      <c r="BJ13" s="70" t="n">
        <v>7.68</v>
      </c>
      <c r="BK13" s="71" t="inlineStr">
        <is>
          <t>Actual</t>
        </is>
      </c>
      <c r="BL13" s="72" t="inlineStr">
        <is>
          <t>Early Stage VC</t>
        </is>
      </c>
      <c r="BM13" s="73" t="inlineStr">
        <is>
          <t>Series A</t>
        </is>
      </c>
      <c r="BN13" s="74" t="inlineStr">
        <is>
          <t/>
        </is>
      </c>
      <c r="BO13" s="75" t="inlineStr">
        <is>
          <t>Venture Capital</t>
        </is>
      </c>
      <c r="BP13" s="76" t="inlineStr">
        <is>
          <t/>
        </is>
      </c>
      <c r="BQ13" s="77" t="inlineStr">
        <is>
          <t/>
        </is>
      </c>
      <c r="BR13" s="78" t="inlineStr">
        <is>
          <t/>
        </is>
      </c>
      <c r="BS13" s="79" t="inlineStr">
        <is>
          <t>Completed</t>
        </is>
      </c>
      <c r="BT13" s="80" t="n">
        <v>42958.0</v>
      </c>
      <c r="BU13" s="81" t="n">
        <v>143.5</v>
      </c>
      <c r="BV13" s="82" t="inlineStr">
        <is>
          <t>Actual</t>
        </is>
      </c>
      <c r="BW13" s="83" t="n">
        <v>270.48</v>
      </c>
      <c r="BX13" s="84" t="inlineStr">
        <is>
          <t>Actual</t>
        </is>
      </c>
      <c r="BY13" s="85" t="inlineStr">
        <is>
          <t>Later Stage VC</t>
        </is>
      </c>
      <c r="BZ13" s="86" t="inlineStr">
        <is>
          <t>Series F</t>
        </is>
      </c>
      <c r="CA13" s="87" t="inlineStr">
        <is>
          <t/>
        </is>
      </c>
      <c r="CB13" s="88" t="inlineStr">
        <is>
          <t>Venture Capital</t>
        </is>
      </c>
      <c r="CC13" s="89" t="inlineStr">
        <is>
          <t/>
        </is>
      </c>
      <c r="CD13" s="90" t="inlineStr">
        <is>
          <t/>
        </is>
      </c>
      <c r="CE13" s="91" t="inlineStr">
        <is>
          <t/>
        </is>
      </c>
      <c r="CF13" s="92" t="inlineStr">
        <is>
          <t>Completed</t>
        </is>
      </c>
      <c r="CG13" s="93" t="inlineStr">
        <is>
          <t>-3,31%</t>
        </is>
      </c>
      <c r="CH13" s="94" t="inlineStr">
        <is>
          <t>6</t>
        </is>
      </c>
      <c r="CI13" s="95" t="inlineStr">
        <is>
          <t>0,00%</t>
        </is>
      </c>
      <c r="CJ13" s="96" t="inlineStr">
        <is>
          <t>0,13%</t>
        </is>
      </c>
      <c r="CK13" s="97" t="inlineStr">
        <is>
          <t>-7,35%</t>
        </is>
      </c>
      <c r="CL13" s="98" t="inlineStr">
        <is>
          <t>5</t>
        </is>
      </c>
      <c r="CM13" s="99" t="inlineStr">
        <is>
          <t>0,03%</t>
        </is>
      </c>
      <c r="CN13" s="100" t="inlineStr">
        <is>
          <t>46</t>
        </is>
      </c>
      <c r="CO13" s="101" t="inlineStr">
        <is>
          <t>-14,63%</t>
        </is>
      </c>
      <c r="CP13" s="102" t="inlineStr">
        <is>
          <t>8</t>
        </is>
      </c>
      <c r="CQ13" s="103" t="inlineStr">
        <is>
          <t>-0,07%</t>
        </is>
      </c>
      <c r="CR13" s="104" t="inlineStr">
        <is>
          <t>20</t>
        </is>
      </c>
      <c r="CS13" s="105" t="inlineStr">
        <is>
          <t>-0,01%</t>
        </is>
      </c>
      <c r="CT13" s="106" t="inlineStr">
        <is>
          <t>16</t>
        </is>
      </c>
      <c r="CU13" s="107" t="inlineStr">
        <is>
          <t>0,07%</t>
        </is>
      </c>
      <c r="CV13" s="108" t="inlineStr">
        <is>
          <t>62</t>
        </is>
      </c>
      <c r="CW13" s="109" t="inlineStr">
        <is>
          <t>5.669,59x</t>
        </is>
      </c>
      <c r="CX13" s="110" t="inlineStr">
        <is>
          <t>100</t>
        </is>
      </c>
      <c r="CY13" s="111" t="inlineStr">
        <is>
          <t>15,65x</t>
        </is>
      </c>
      <c r="CZ13" s="112" t="inlineStr">
        <is>
          <t>0,28%</t>
        </is>
      </c>
      <c r="DA13" s="113" t="inlineStr">
        <is>
          <t>12.426,21x</t>
        </is>
      </c>
      <c r="DB13" s="114" t="inlineStr">
        <is>
          <t>100</t>
        </is>
      </c>
      <c r="DC13" s="115" t="inlineStr">
        <is>
          <t>7.236,89x</t>
        </is>
      </c>
      <c r="DD13" s="116" t="inlineStr">
        <is>
          <t>100</t>
        </is>
      </c>
      <c r="DE13" s="117" t="inlineStr">
        <is>
          <t>22.833,92x</t>
        </is>
      </c>
      <c r="DF13" s="118" t="inlineStr">
        <is>
          <t>100</t>
        </is>
      </c>
      <c r="DG13" s="119" t="inlineStr">
        <is>
          <t>2.018,50x</t>
        </is>
      </c>
      <c r="DH13" s="120" t="inlineStr">
        <is>
          <t>100</t>
        </is>
      </c>
      <c r="DI13" s="121" t="inlineStr">
        <is>
          <t>8.314,77x</t>
        </is>
      </c>
      <c r="DJ13" s="122" t="inlineStr">
        <is>
          <t>100</t>
        </is>
      </c>
      <c r="DK13" s="123" t="inlineStr">
        <is>
          <t>6.159,02x</t>
        </is>
      </c>
      <c r="DL13" s="124" t="inlineStr">
        <is>
          <t>100</t>
        </is>
      </c>
      <c r="DM13" s="125" t="inlineStr">
        <is>
          <t>8.475.368</t>
        </is>
      </c>
      <c r="DN13" s="126" t="inlineStr">
        <is>
          <t>-19.910</t>
        </is>
      </c>
      <c r="DO13" s="127" t="inlineStr">
        <is>
          <t>-0,23%</t>
        </is>
      </c>
      <c r="DP13" s="128" t="inlineStr">
        <is>
          <t>6.586.265</t>
        </is>
      </c>
      <c r="DQ13" s="129" t="inlineStr">
        <is>
          <t>-2.604</t>
        </is>
      </c>
      <c r="DR13" s="130" t="inlineStr">
        <is>
          <t>-0,04%</t>
        </is>
      </c>
      <c r="DS13" s="131" t="inlineStr">
        <is>
          <t>72.687</t>
        </is>
      </c>
      <c r="DT13" s="132" t="inlineStr">
        <is>
          <t>-50</t>
        </is>
      </c>
      <c r="DU13" s="133" t="inlineStr">
        <is>
          <t>-0,07%</t>
        </is>
      </c>
      <c r="DV13" s="134" t="inlineStr">
        <is>
          <t>2.302.785</t>
        </is>
      </c>
      <c r="DW13" s="135" t="inlineStr">
        <is>
          <t>2.112</t>
        </is>
      </c>
      <c r="DX13" s="136" t="inlineStr">
        <is>
          <t>0,09%</t>
        </is>
      </c>
      <c r="DY13" s="137" t="inlineStr">
        <is>
          <t>PitchBook Research</t>
        </is>
      </c>
      <c r="DZ13" s="785">
        <f>HYPERLINK("https://my.pitchbook.com?c=52923-70", "View company online")</f>
      </c>
    </row>
    <row r="14">
      <c r="A14" s="139" t="inlineStr">
        <is>
          <t>96585-04</t>
        </is>
      </c>
      <c r="B14" s="140" t="inlineStr">
        <is>
          <t>Prodigy Finance</t>
        </is>
      </c>
      <c r="C14" s="141" t="inlineStr">
        <is>
          <t/>
        </is>
      </c>
      <c r="D14" s="142" t="inlineStr">
        <is>
          <t/>
        </is>
      </c>
      <c r="E14" s="143" t="inlineStr">
        <is>
          <t>96585-04</t>
        </is>
      </c>
      <c r="F14" s="144" t="inlineStr">
        <is>
          <t>Operator of a community funding platform designed to provide loans to students of premium business schools. The company's community funding platform connects alumni and institutional investors with student borrowers to finance student loans, enabling students to overcome the financial constraints and seeks to deliver favorable returns to investors.</t>
        </is>
      </c>
      <c r="G14" s="145" t="inlineStr">
        <is>
          <t>Business Products and Services (B2B)</t>
        </is>
      </c>
      <c r="H14" s="146" t="inlineStr">
        <is>
          <t>Commercial Services</t>
        </is>
      </c>
      <c r="I14" s="147" t="inlineStr">
        <is>
          <t>Other Commercial Services</t>
        </is>
      </c>
      <c r="J14" s="148" t="inlineStr">
        <is>
          <t>Other Commercial Services*; Other Financial Services; Network Management Software; Financial Software</t>
        </is>
      </c>
      <c r="K14" s="149" t="inlineStr">
        <is>
          <t>FinTech</t>
        </is>
      </c>
      <c r="L14" s="150" t="inlineStr">
        <is>
          <t>Venture Capital-Backed</t>
        </is>
      </c>
      <c r="M14" s="151" t="n">
        <v>314.21</v>
      </c>
      <c r="N14" s="152" t="inlineStr">
        <is>
          <t>Generating Revenue</t>
        </is>
      </c>
      <c r="O14" s="153" t="inlineStr">
        <is>
          <t>Privately Held (backing)</t>
        </is>
      </c>
      <c r="P14" s="154" t="inlineStr">
        <is>
          <t>Venture Capital</t>
        </is>
      </c>
      <c r="Q14" s="155" t="inlineStr">
        <is>
          <t>www.prodigyfinance.com</t>
        </is>
      </c>
      <c r="R14" s="156" t="n">
        <v>115.0</v>
      </c>
      <c r="S14" s="157" t="inlineStr">
        <is>
          <t/>
        </is>
      </c>
      <c r="T14" s="158" t="inlineStr">
        <is>
          <t/>
        </is>
      </c>
      <c r="U14" s="159" t="n">
        <v>2007.0</v>
      </c>
      <c r="V14" s="160" t="inlineStr">
        <is>
          <t/>
        </is>
      </c>
      <c r="W14" s="161" t="inlineStr">
        <is>
          <t/>
        </is>
      </c>
      <c r="X14" s="162" t="inlineStr">
        <is>
          <r>
            <rPr>
              <b/>
              <color rgb="ff26854d"/>
              <rFont val="Arial"/>
              <sz val="8.0"/>
            </rPr>
            <t>News</t>
          </r>
          <r>
            <rPr>
              <color rgb="ff707070"/>
              <rFont val="Arial"/>
              <sz val="7.0"/>
            </rPr>
            <t xml:space="preserve"> NEW  </t>
          </r>
        </is>
      </c>
      <c r="Y14" s="163" t="n">
        <v>6.12789</v>
      </c>
      <c r="Z14" s="164" t="n">
        <v>4.10739</v>
      </c>
      <c r="AA14" s="165" t="inlineStr">
        <is>
          <t/>
        </is>
      </c>
      <c r="AB14" s="166" t="inlineStr">
        <is>
          <t/>
        </is>
      </c>
      <c r="AC14" s="167" t="n">
        <v>-7.77844</v>
      </c>
      <c r="AD14" s="168" t="inlineStr">
        <is>
          <t>FY 2016</t>
        </is>
      </c>
      <c r="AE14" s="169" t="inlineStr">
        <is>
          <t>62114-77P</t>
        </is>
      </c>
      <c r="AF14" s="170" t="inlineStr">
        <is>
          <t>Alastair Hops</t>
        </is>
      </c>
      <c r="AG14" s="171" t="inlineStr">
        <is>
          <t>Chief Financial Officer</t>
        </is>
      </c>
      <c r="AH14" s="172" t="inlineStr">
        <is>
          <t>ahops@prodigyfinance.com</t>
        </is>
      </c>
      <c r="AI14" s="173" t="inlineStr">
        <is>
          <t>+44 (0)84 5154 7767</t>
        </is>
      </c>
      <c r="AJ14" s="174" t="inlineStr">
        <is>
          <t>London, United Kingdom</t>
        </is>
      </c>
      <c r="AK14" s="175" t="inlineStr">
        <is>
          <t>Palladium House</t>
        </is>
      </c>
      <c r="AL14" s="176" t="inlineStr">
        <is>
          <t>1-4 Argyll Street</t>
        </is>
      </c>
      <c r="AM14" s="177" t="inlineStr">
        <is>
          <t>London</t>
        </is>
      </c>
      <c r="AN14" s="178" t="inlineStr">
        <is>
          <t>England</t>
        </is>
      </c>
      <c r="AO14" s="179" t="inlineStr">
        <is>
          <t>W1F 7LD</t>
        </is>
      </c>
      <c r="AP14" s="180" t="inlineStr">
        <is>
          <t>United Kingdom</t>
        </is>
      </c>
      <c r="AQ14" s="181" t="inlineStr">
        <is>
          <t>+44 (0)84 5154 7767</t>
        </is>
      </c>
      <c r="AR14" s="182" t="inlineStr">
        <is>
          <t/>
        </is>
      </c>
      <c r="AS14" s="183" t="inlineStr">
        <is>
          <t>info@prodigyfinance.com</t>
        </is>
      </c>
      <c r="AT14" s="184" t="inlineStr">
        <is>
          <t>Europe</t>
        </is>
      </c>
      <c r="AU14" s="185" t="inlineStr">
        <is>
          <t>Western Europe</t>
        </is>
      </c>
      <c r="AV14" s="186" t="inlineStr">
        <is>
          <t>The company raised $240 million of venture funding through a combination of debt and equity on August 21, 2017. $40 million of Series C funding was led by Index Ventures (UK) with participation from Balderton Capital and AlphaCode. $200 million debt portion was provided by undisclosed lenders. RMI's fintech investment arm, AlphaCode, will acquire nearly 5% of the company. The company will use the funds to increase its operational expansion and provide additional funding for students earning postgraduate degrees in business, engineering, law and public policy at the world's top 100 universities.</t>
        </is>
      </c>
      <c r="AW14" s="187" t="inlineStr">
        <is>
          <t>AlphaCode, Balderton Capital, Index Ventures (UK), Peter Wilson</t>
        </is>
      </c>
      <c r="AX14" s="188" t="n">
        <v>4.0</v>
      </c>
      <c r="AY14" s="189" t="inlineStr">
        <is>
          <t/>
        </is>
      </c>
      <c r="AZ14" s="190" t="inlineStr">
        <is>
          <t/>
        </is>
      </c>
      <c r="BA14" s="191" t="inlineStr">
        <is>
          <t/>
        </is>
      </c>
      <c r="BB14" s="192" t="inlineStr">
        <is>
          <t>AlphaCode (www.alphacode.club), Balderton Capital (www.balderton.com), Index Ventures (UK) (www.indexventures.com)</t>
        </is>
      </c>
      <c r="BC14" s="193" t="inlineStr">
        <is>
          <t/>
        </is>
      </c>
      <c r="BD14" s="194" t="inlineStr">
        <is>
          <t/>
        </is>
      </c>
      <c r="BE14" s="195" t="inlineStr">
        <is>
          <t/>
        </is>
      </c>
      <c r="BF14" s="196" t="inlineStr">
        <is>
          <t>Credit Suisse (Debt Financing), GP Bullhound (Advisor: General), Deutsche Bank (Debt Financing)</t>
        </is>
      </c>
      <c r="BG14" s="197" t="inlineStr">
        <is>
          <t/>
        </is>
      </c>
      <c r="BH14" s="198" t="inlineStr">
        <is>
          <t/>
        </is>
      </c>
      <c r="BI14" s="199" t="inlineStr">
        <is>
          <t/>
        </is>
      </c>
      <c r="BJ14" s="200" t="inlineStr">
        <is>
          <t/>
        </is>
      </c>
      <c r="BK14" s="201" t="inlineStr">
        <is>
          <t/>
        </is>
      </c>
      <c r="BL14" s="202" t="inlineStr">
        <is>
          <t>Angel (individual)</t>
        </is>
      </c>
      <c r="BM14" s="203" t="inlineStr">
        <is>
          <t>Angel</t>
        </is>
      </c>
      <c r="BN14" s="204" t="inlineStr">
        <is>
          <t/>
        </is>
      </c>
      <c r="BO14" s="205" t="inlineStr">
        <is>
          <t>Individual</t>
        </is>
      </c>
      <c r="BP14" s="206" t="inlineStr">
        <is>
          <t/>
        </is>
      </c>
      <c r="BQ14" s="207" t="inlineStr">
        <is>
          <t/>
        </is>
      </c>
      <c r="BR14" s="208" t="inlineStr">
        <is>
          <t/>
        </is>
      </c>
      <c r="BS14" s="209" t="inlineStr">
        <is>
          <t>Completed</t>
        </is>
      </c>
      <c r="BT14" s="210" t="n">
        <v>42968.0</v>
      </c>
      <c r="BU14" s="211" t="n">
        <v>203.18</v>
      </c>
      <c r="BV14" s="212" t="inlineStr">
        <is>
          <t>Actual</t>
        </is>
      </c>
      <c r="BW14" s="213" t="inlineStr">
        <is>
          <t/>
        </is>
      </c>
      <c r="BX14" s="214" t="inlineStr">
        <is>
          <t/>
        </is>
      </c>
      <c r="BY14" s="215" t="inlineStr">
        <is>
          <t>Later Stage VC</t>
        </is>
      </c>
      <c r="BZ14" s="216" t="inlineStr">
        <is>
          <t>Series C</t>
        </is>
      </c>
      <c r="CA14" s="217" t="inlineStr">
        <is>
          <t/>
        </is>
      </c>
      <c r="CB14" s="218" t="inlineStr">
        <is>
          <t>Venture Capital</t>
        </is>
      </c>
      <c r="CC14" s="219" t="inlineStr">
        <is>
          <t>Senior Debt</t>
        </is>
      </c>
      <c r="CD14" s="220" t="inlineStr">
        <is>
          <t/>
        </is>
      </c>
      <c r="CE14" s="221" t="inlineStr">
        <is>
          <t/>
        </is>
      </c>
      <c r="CF14" s="222" t="inlineStr">
        <is>
          <t>Completed</t>
        </is>
      </c>
      <c r="CG14" s="223" t="inlineStr">
        <is>
          <t>-2,60%</t>
        </is>
      </c>
      <c r="CH14" s="224" t="inlineStr">
        <is>
          <t>8</t>
        </is>
      </c>
      <c r="CI14" s="225" t="inlineStr">
        <is>
          <t>0,00%</t>
        </is>
      </c>
      <c r="CJ14" s="226" t="inlineStr">
        <is>
          <t>-0,16%</t>
        </is>
      </c>
      <c r="CK14" s="227" t="inlineStr">
        <is>
          <t>-8,42%</t>
        </is>
      </c>
      <c r="CL14" s="228" t="inlineStr">
        <is>
          <t>4</t>
        </is>
      </c>
      <c r="CM14" s="229" t="inlineStr">
        <is>
          <t>0,05%</t>
        </is>
      </c>
      <c r="CN14" s="230" t="inlineStr">
        <is>
          <t>49</t>
        </is>
      </c>
      <c r="CO14" s="231" t="inlineStr">
        <is>
          <t>-16,85%</t>
        </is>
      </c>
      <c r="CP14" s="232" t="inlineStr">
        <is>
          <t>7</t>
        </is>
      </c>
      <c r="CQ14" s="233" t="inlineStr">
        <is>
          <t>0,00%</t>
        </is>
      </c>
      <c r="CR14" s="234" t="inlineStr">
        <is>
          <t>20</t>
        </is>
      </c>
      <c r="CS14" s="235" t="inlineStr">
        <is>
          <t>0,06%</t>
        </is>
      </c>
      <c r="CT14" s="236" t="inlineStr">
        <is>
          <t>50</t>
        </is>
      </c>
      <c r="CU14" s="237" t="inlineStr">
        <is>
          <t>0,05%</t>
        </is>
      </c>
      <c r="CV14" s="238" t="inlineStr">
        <is>
          <t>59</t>
        </is>
      </c>
      <c r="CW14" s="239" t="inlineStr">
        <is>
          <t>41,04x</t>
        </is>
      </c>
      <c r="CX14" s="240" t="inlineStr">
        <is>
          <t>96</t>
        </is>
      </c>
      <c r="CY14" s="241" t="inlineStr">
        <is>
          <t>-0,27x</t>
        </is>
      </c>
      <c r="CZ14" s="242" t="inlineStr">
        <is>
          <t>-0,64%</t>
        </is>
      </c>
      <c r="DA14" s="243" t="inlineStr">
        <is>
          <t>10,73x</t>
        </is>
      </c>
      <c r="DB14" s="244" t="inlineStr">
        <is>
          <t>90</t>
        </is>
      </c>
      <c r="DC14" s="245" t="inlineStr">
        <is>
          <t>111,99x</t>
        </is>
      </c>
      <c r="DD14" s="246" t="inlineStr">
        <is>
          <t>97</t>
        </is>
      </c>
      <c r="DE14" s="247" t="inlineStr">
        <is>
          <t>19,88x</t>
        </is>
      </c>
      <c r="DF14" s="248" t="inlineStr">
        <is>
          <t>92</t>
        </is>
      </c>
      <c r="DG14" s="249" t="inlineStr">
        <is>
          <t>1,58x</t>
        </is>
      </c>
      <c r="DH14" s="250" t="inlineStr">
        <is>
          <t>60</t>
        </is>
      </c>
      <c r="DI14" s="251" t="inlineStr">
        <is>
          <t>214,83x</t>
        </is>
      </c>
      <c r="DJ14" s="252" t="inlineStr">
        <is>
          <t>97</t>
        </is>
      </c>
      <c r="DK14" s="253" t="inlineStr">
        <is>
          <t>9,16x</t>
        </is>
      </c>
      <c r="DL14" s="254" t="inlineStr">
        <is>
          <t>86</t>
        </is>
      </c>
      <c r="DM14" s="255" t="inlineStr">
        <is>
          <t>7.480</t>
        </is>
      </c>
      <c r="DN14" s="256" t="inlineStr">
        <is>
          <t>-516</t>
        </is>
      </c>
      <c r="DO14" s="257" t="inlineStr">
        <is>
          <t>-6,45%</t>
        </is>
      </c>
      <c r="DP14" s="258" t="inlineStr">
        <is>
          <t>170.077</t>
        </is>
      </c>
      <c r="DQ14" s="259" t="inlineStr">
        <is>
          <t>110</t>
        </is>
      </c>
      <c r="DR14" s="260" t="inlineStr">
        <is>
          <t>0,06%</t>
        </is>
      </c>
      <c r="DS14" s="261" t="inlineStr">
        <is>
          <t>57</t>
        </is>
      </c>
      <c r="DT14" s="262" t="inlineStr">
        <is>
          <t>-1</t>
        </is>
      </c>
      <c r="DU14" s="263" t="inlineStr">
        <is>
          <t>-1,72%</t>
        </is>
      </c>
      <c r="DV14" s="264" t="inlineStr">
        <is>
          <t>3.423</t>
        </is>
      </c>
      <c r="DW14" s="265" t="inlineStr">
        <is>
          <t>1</t>
        </is>
      </c>
      <c r="DX14" s="266" t="inlineStr">
        <is>
          <t>0,03%</t>
        </is>
      </c>
      <c r="DY14" s="267" t="inlineStr">
        <is>
          <t>PitchBook Research</t>
        </is>
      </c>
      <c r="DZ14" s="786">
        <f>HYPERLINK("https://my.pitchbook.com?c=96585-04", "View company online")</f>
      </c>
    </row>
    <row r="15">
      <c r="A15" s="9" t="inlineStr">
        <is>
          <t>54299-17</t>
        </is>
      </c>
      <c r="B15" s="10" t="inlineStr">
        <is>
          <t>iZettle</t>
        </is>
      </c>
      <c r="C15" s="11" t="inlineStr">
        <is>
          <t/>
        </is>
      </c>
      <c r="D15" s="12" t="inlineStr">
        <is>
          <t/>
        </is>
      </c>
      <c r="E15" s="13" t="inlineStr">
        <is>
          <t>54299-17</t>
        </is>
      </c>
      <c r="F15" s="14" t="inlineStr">
        <is>
          <t>Developer of a web and mobile based payment application designed to simplify online monetary transactions. The company's mobile payment application is a one-stop shop that offers a card-reader that plugs into mobile devices and registers to tools for collecting payments, enabling small companies to take payments, to ease and register day-to-day management, sales and to get funding.</t>
        </is>
      </c>
      <c r="G15" s="15" t="inlineStr">
        <is>
          <t>Information Technology</t>
        </is>
      </c>
      <c r="H15" s="16" t="inlineStr">
        <is>
          <t>Software</t>
        </is>
      </c>
      <c r="I15" s="17" t="inlineStr">
        <is>
          <t>Financial Software</t>
        </is>
      </c>
      <c r="J15" s="18" t="inlineStr">
        <is>
          <t>Financial Software*; Other Hardware</t>
        </is>
      </c>
      <c r="K15" s="19" t="inlineStr">
        <is>
          <t>FinTech, Mobile</t>
        </is>
      </c>
      <c r="L15" s="20" t="inlineStr">
        <is>
          <t>Venture Capital-Backed</t>
        </is>
      </c>
      <c r="M15" s="21" t="n">
        <v>282.7</v>
      </c>
      <c r="N15" s="22" t="inlineStr">
        <is>
          <t>Generating Revenue/Not Profitable</t>
        </is>
      </c>
      <c r="O15" s="23" t="inlineStr">
        <is>
          <t>Privately Held (backing)</t>
        </is>
      </c>
      <c r="P15" s="24" t="inlineStr">
        <is>
          <t>Venture Capital</t>
        </is>
      </c>
      <c r="Q15" s="25" t="inlineStr">
        <is>
          <t>www.izettle.com</t>
        </is>
      </c>
      <c r="R15" s="26" t="n">
        <v>221.0</v>
      </c>
      <c r="S15" s="27" t="inlineStr">
        <is>
          <t/>
        </is>
      </c>
      <c r="T15" s="28" t="inlineStr">
        <is>
          <t/>
        </is>
      </c>
      <c r="U15" s="29" t="n">
        <v>2010.0</v>
      </c>
      <c r="V15" s="30" t="inlineStr">
        <is>
          <t/>
        </is>
      </c>
      <c r="W15" s="31" t="inlineStr">
        <is>
          <t/>
        </is>
      </c>
      <c r="X15" s="32" t="inlineStr">
        <is>
          <t/>
        </is>
      </c>
      <c r="Y15" s="33" t="inlineStr">
        <is>
          <t/>
        </is>
      </c>
      <c r="Z15" s="34" t="inlineStr">
        <is>
          <t/>
        </is>
      </c>
      <c r="AA15" s="35" t="n">
        <v>-216.55859</v>
      </c>
      <c r="AB15" s="36" t="inlineStr">
        <is>
          <t/>
        </is>
      </c>
      <c r="AC15" s="37" t="inlineStr">
        <is>
          <t/>
        </is>
      </c>
      <c r="AD15" s="38" t="inlineStr">
        <is>
          <t>FY 2017</t>
        </is>
      </c>
      <c r="AE15" s="39" t="inlineStr">
        <is>
          <t>50364-01P</t>
        </is>
      </c>
      <c r="AF15" s="40" t="inlineStr">
        <is>
          <t>Roberts Stewart</t>
        </is>
      </c>
      <c r="AG15" s="41" t="inlineStr">
        <is>
          <t>Executive Vice President</t>
        </is>
      </c>
      <c r="AH15" s="42" t="inlineStr">
        <is>
          <t>roberts@izettle.com</t>
        </is>
      </c>
      <c r="AI15" s="43" t="inlineStr">
        <is>
          <t/>
        </is>
      </c>
      <c r="AJ15" s="44" t="inlineStr">
        <is>
          <t>Stockholm, Sweden</t>
        </is>
      </c>
      <c r="AK15" s="45" t="inlineStr">
        <is>
          <t>Regeringsgatan 59</t>
        </is>
      </c>
      <c r="AL15" s="46" t="inlineStr">
        <is>
          <t/>
        </is>
      </c>
      <c r="AM15" s="47" t="inlineStr">
        <is>
          <t>Stockholm</t>
        </is>
      </c>
      <c r="AN15" s="48" t="inlineStr">
        <is>
          <t/>
        </is>
      </c>
      <c r="AO15" s="49" t="inlineStr">
        <is>
          <t>111 56</t>
        </is>
      </c>
      <c r="AP15" s="50" t="inlineStr">
        <is>
          <t>Sweden</t>
        </is>
      </c>
      <c r="AQ15" s="51" t="inlineStr">
        <is>
          <t/>
        </is>
      </c>
      <c r="AR15" s="52" t="inlineStr">
        <is>
          <t/>
        </is>
      </c>
      <c r="AS15" s="53" t="inlineStr">
        <is>
          <t>hello@izettle.com</t>
        </is>
      </c>
      <c r="AT15" s="54" t="inlineStr">
        <is>
          <t>Europe</t>
        </is>
      </c>
      <c r="AU15" s="55" t="inlineStr">
        <is>
          <t>Northern Europe</t>
        </is>
      </c>
      <c r="AV15" s="56" t="inlineStr">
        <is>
          <t>The company is reportedly in the process of raising EUR 30 million of debt financing from European Investment Bank on September 19, 2017. The company intends to use the funds for development of next generation payments infrastructure, insights and actions through machine learning, artificial intelligence, digitize commerce processes and scale legislative and compliance systems. The company raised an additional EUR 60 million of Series D venture funding through a combination of debt and equity on January 11, 2017, putting the company's pre-money valuation at EUR 430 million. The company is being actively tracked by PitchBook.</t>
        </is>
      </c>
      <c r="AW15" s="57" t="inlineStr">
        <is>
          <t>83North, American Express Ventures, Banco Santander, Creandum, Dawn Capital, Greylock Partners, Index Ventures (UK), Intel Capital, MasterCard, MCI Capital, Nathan Medlock, Northzone Ventures, Santander InnoVentures, SEB Private Equity, Zobito, Zouk Capital</t>
        </is>
      </c>
      <c r="AX15" s="58" t="n">
        <v>16.0</v>
      </c>
      <c r="AY15" s="59" t="inlineStr">
        <is>
          <t/>
        </is>
      </c>
      <c r="AZ15" s="60" t="inlineStr">
        <is>
          <t>Hasso Plattner Ventures</t>
        </is>
      </c>
      <c r="BA15" s="61" t="inlineStr">
        <is>
          <t/>
        </is>
      </c>
      <c r="BB15" s="62" t="inlineStr">
        <is>
          <t>83North (www.83north.com), Banco Santander (www.santander.com), Creandum (www.creandum.com), Dawn Capital (www.dawncapital.com), Greylock Partners (www.greylock.com), Index Ventures (UK) (www.indexventures.com), Intel Capital (www.intelcapital.com), MasterCard (www.mastercard.us), MCI Capital (www.mci.pl), Northzone Ventures (www.northzone.com), Santander InnoVentures (www.santanderinnoventures.com), Zobito (www.zobito.com), Zouk Capital (www.zouk.com)</t>
        </is>
      </c>
      <c r="BC15" s="63" t="inlineStr">
        <is>
          <t>Hasso Plattner Ventures (www.hp-ventures.com)</t>
        </is>
      </c>
      <c r="BD15" s="64" t="inlineStr">
        <is>
          <t/>
        </is>
      </c>
      <c r="BE15" s="65" t="inlineStr">
        <is>
          <t/>
        </is>
      </c>
      <c r="BF15" s="66" t="inlineStr">
        <is>
          <t>European Investment Bank (Debt Financing), Synch Advokat (Legal Advisor), Victory Park Capital (Debt Financing), Vinge (Legal Advisor)</t>
        </is>
      </c>
      <c r="BG15" s="67" t="n">
        <v>40835.0</v>
      </c>
      <c r="BH15" s="68" t="n">
        <v>8.2</v>
      </c>
      <c r="BI15" s="69" t="inlineStr">
        <is>
          <t>Actual</t>
        </is>
      </c>
      <c r="BJ15" s="70" t="inlineStr">
        <is>
          <t/>
        </is>
      </c>
      <c r="BK15" s="71" t="inlineStr">
        <is>
          <t/>
        </is>
      </c>
      <c r="BL15" s="72" t="inlineStr">
        <is>
          <t>Early Stage VC</t>
        </is>
      </c>
      <c r="BM15" s="73" t="inlineStr">
        <is>
          <t>Series A</t>
        </is>
      </c>
      <c r="BN15" s="74" t="inlineStr">
        <is>
          <t/>
        </is>
      </c>
      <c r="BO15" s="75" t="inlineStr">
        <is>
          <t>Venture Capital</t>
        </is>
      </c>
      <c r="BP15" s="76" t="inlineStr">
        <is>
          <t/>
        </is>
      </c>
      <c r="BQ15" s="77" t="inlineStr">
        <is>
          <t/>
        </is>
      </c>
      <c r="BR15" s="78" t="inlineStr">
        <is>
          <t/>
        </is>
      </c>
      <c r="BS15" s="79" t="inlineStr">
        <is>
          <t>Completed</t>
        </is>
      </c>
      <c r="BT15" s="80" t="n">
        <v>42997.0</v>
      </c>
      <c r="BU15" s="81" t="n">
        <v>30.0</v>
      </c>
      <c r="BV15" s="82" t="inlineStr">
        <is>
          <t>Actual</t>
        </is>
      </c>
      <c r="BW15" s="83" t="inlineStr">
        <is>
          <t/>
        </is>
      </c>
      <c r="BX15" s="84" t="inlineStr">
        <is>
          <t/>
        </is>
      </c>
      <c r="BY15" s="85" t="inlineStr">
        <is>
          <t>Debt - General</t>
        </is>
      </c>
      <c r="BZ15" s="86" t="inlineStr">
        <is>
          <t/>
        </is>
      </c>
      <c r="CA15" s="87" t="inlineStr">
        <is>
          <t/>
        </is>
      </c>
      <c r="CB15" s="88" t="inlineStr">
        <is>
          <t>Debt</t>
        </is>
      </c>
      <c r="CC15" s="89" t="inlineStr">
        <is>
          <t>Other Debt</t>
        </is>
      </c>
      <c r="CD15" s="90" t="inlineStr">
        <is>
          <t/>
        </is>
      </c>
      <c r="CE15" s="91" t="inlineStr">
        <is>
          <t/>
        </is>
      </c>
      <c r="CF15" s="92" t="inlineStr">
        <is>
          <t>Announced/In Progress</t>
        </is>
      </c>
      <c r="CG15" s="93" t="inlineStr">
        <is>
          <t>-5,05%</t>
        </is>
      </c>
      <c r="CH15" s="94" t="inlineStr">
        <is>
          <t>4</t>
        </is>
      </c>
      <c r="CI15" s="95" t="inlineStr">
        <is>
          <t>-0,01%</t>
        </is>
      </c>
      <c r="CJ15" s="96" t="inlineStr">
        <is>
          <t>-0,21%</t>
        </is>
      </c>
      <c r="CK15" s="97" t="inlineStr">
        <is>
          <t>-10,34%</t>
        </is>
      </c>
      <c r="CL15" s="98" t="inlineStr">
        <is>
          <t>3</t>
        </is>
      </c>
      <c r="CM15" s="99" t="inlineStr">
        <is>
          <t>0,24%</t>
        </is>
      </c>
      <c r="CN15" s="100" t="inlineStr">
        <is>
          <t>75</t>
        </is>
      </c>
      <c r="CO15" s="101" t="inlineStr">
        <is>
          <t>-20,08%</t>
        </is>
      </c>
      <c r="CP15" s="102" t="inlineStr">
        <is>
          <t>5</t>
        </is>
      </c>
      <c r="CQ15" s="103" t="inlineStr">
        <is>
          <t>-0,60%</t>
        </is>
      </c>
      <c r="CR15" s="104" t="inlineStr">
        <is>
          <t>14</t>
        </is>
      </c>
      <c r="CS15" s="105" t="inlineStr">
        <is>
          <t>0,28%</t>
        </is>
      </c>
      <c r="CT15" s="106" t="inlineStr">
        <is>
          <t>76</t>
        </is>
      </c>
      <c r="CU15" s="107" t="inlineStr">
        <is>
          <t>0,19%</t>
        </is>
      </c>
      <c r="CV15" s="108" t="inlineStr">
        <is>
          <t>75</t>
        </is>
      </c>
      <c r="CW15" s="109" t="inlineStr">
        <is>
          <t>210,16x</t>
        </is>
      </c>
      <c r="CX15" s="110" t="inlineStr">
        <is>
          <t>99</t>
        </is>
      </c>
      <c r="CY15" s="111" t="inlineStr">
        <is>
          <t>-0,99x</t>
        </is>
      </c>
      <c r="CZ15" s="112" t="inlineStr">
        <is>
          <t>-0,47%</t>
        </is>
      </c>
      <c r="DA15" s="113" t="inlineStr">
        <is>
          <t>59,79x</t>
        </is>
      </c>
      <c r="DB15" s="114" t="inlineStr">
        <is>
          <t>98</t>
        </is>
      </c>
      <c r="DC15" s="115" t="inlineStr">
        <is>
          <t>360,52x</t>
        </is>
      </c>
      <c r="DD15" s="116" t="inlineStr">
        <is>
          <t>99</t>
        </is>
      </c>
      <c r="DE15" s="117" t="inlineStr">
        <is>
          <t>6,34x</t>
        </is>
      </c>
      <c r="DF15" s="118" t="inlineStr">
        <is>
          <t>83</t>
        </is>
      </c>
      <c r="DG15" s="119" t="inlineStr">
        <is>
          <t>113,25x</t>
        </is>
      </c>
      <c r="DH15" s="120" t="inlineStr">
        <is>
          <t>99</t>
        </is>
      </c>
      <c r="DI15" s="121" t="inlineStr">
        <is>
          <t>710,66x</t>
        </is>
      </c>
      <c r="DJ15" s="122" t="inlineStr">
        <is>
          <t>99</t>
        </is>
      </c>
      <c r="DK15" s="123" t="inlineStr">
        <is>
          <t>10,38x</t>
        </is>
      </c>
      <c r="DL15" s="124" t="inlineStr">
        <is>
          <t>87</t>
        </is>
      </c>
      <c r="DM15" s="125" t="inlineStr">
        <is>
          <t>2.310</t>
        </is>
      </c>
      <c r="DN15" s="126" t="inlineStr">
        <is>
          <t>212</t>
        </is>
      </c>
      <c r="DO15" s="127" t="inlineStr">
        <is>
          <t>10,10%</t>
        </is>
      </c>
      <c r="DP15" s="128" t="inlineStr">
        <is>
          <t>562.096</t>
        </is>
      </c>
      <c r="DQ15" s="129" t="inlineStr">
        <is>
          <t>1.645</t>
        </is>
      </c>
      <c r="DR15" s="130" t="inlineStr">
        <is>
          <t>0,29%</t>
        </is>
      </c>
      <c r="DS15" s="131" t="inlineStr">
        <is>
          <t>4.088</t>
        </is>
      </c>
      <c r="DT15" s="132" t="inlineStr">
        <is>
          <t>-25</t>
        </is>
      </c>
      <c r="DU15" s="133" t="inlineStr">
        <is>
          <t>-0,61%</t>
        </is>
      </c>
      <c r="DV15" s="134" t="inlineStr">
        <is>
          <t>3.881</t>
        </is>
      </c>
      <c r="DW15" s="135" t="inlineStr">
        <is>
          <t>5</t>
        </is>
      </c>
      <c r="DX15" s="136" t="inlineStr">
        <is>
          <t>0,13%</t>
        </is>
      </c>
      <c r="DY15" s="137" t="inlineStr">
        <is>
          <t>PitchBook Research</t>
        </is>
      </c>
      <c r="DZ15" s="785">
        <f>HYPERLINK("https://my.pitchbook.com?c=54299-17", "View company online")</f>
      </c>
    </row>
    <row r="16">
      <c r="A16" s="139" t="inlineStr">
        <is>
          <t>55246-60</t>
        </is>
      </c>
      <c r="B16" s="140" t="inlineStr">
        <is>
          <t>Cabify</t>
        </is>
      </c>
      <c r="C16" s="141" t="inlineStr">
        <is>
          <t/>
        </is>
      </c>
      <c r="D16" s="142" t="inlineStr">
        <is>
          <t/>
        </is>
      </c>
      <c r="E16" s="143" t="inlineStr">
        <is>
          <t>55246-60</t>
        </is>
      </c>
      <c r="F16" s="144" t="inlineStr">
        <is>
          <t>Provider of a on-demand transportation application intended to offer a private driver and taxi ride application. The company's on-demand transportation provides a web-based platform for users to summon cars with drivers on the spot or book in advance with magazines, water and customers choice of music enabling customers can select their location and vehicle type for on-demand pick up and enjoy payments with digital payments via credit cards and PayPal.</t>
        </is>
      </c>
      <c r="G16" s="145" t="inlineStr">
        <is>
          <t>Consumer Products and Services (B2C)</t>
        </is>
      </c>
      <c r="H16" s="146" t="inlineStr">
        <is>
          <t>Transportation</t>
        </is>
      </c>
      <c r="I16" s="147" t="inlineStr">
        <is>
          <t>Automotive</t>
        </is>
      </c>
      <c r="J16" s="148" t="inlineStr">
        <is>
          <t>Automotive*; Application Software</t>
        </is>
      </c>
      <c r="K16" s="149" t="inlineStr">
        <is>
          <t>Mobile</t>
        </is>
      </c>
      <c r="L16" s="150" t="inlineStr">
        <is>
          <t>Venture Capital-Backed</t>
        </is>
      </c>
      <c r="M16" s="151" t="n">
        <v>220.49</v>
      </c>
      <c r="N16" s="152" t="inlineStr">
        <is>
          <t>Generating Revenue</t>
        </is>
      </c>
      <c r="O16" s="153" t="inlineStr">
        <is>
          <t>Privately Held (backing)</t>
        </is>
      </c>
      <c r="P16" s="154" t="inlineStr">
        <is>
          <t>Venture Capital</t>
        </is>
      </c>
      <c r="Q16" s="155" t="inlineStr">
        <is>
          <t>www.cabify.com</t>
        </is>
      </c>
      <c r="R16" s="156" t="n">
        <v>150.0</v>
      </c>
      <c r="S16" s="157" t="inlineStr">
        <is>
          <t/>
        </is>
      </c>
      <c r="T16" s="158" t="inlineStr">
        <is>
          <t/>
        </is>
      </c>
      <c r="U16" s="159" t="n">
        <v>2011.0</v>
      </c>
      <c r="V16" s="160" t="inlineStr">
        <is>
          <t/>
        </is>
      </c>
      <c r="W16" s="161" t="inlineStr">
        <is>
          <t/>
        </is>
      </c>
      <c r="X16" s="162" t="inlineStr">
        <is>
          <t/>
        </is>
      </c>
      <c r="Y16" s="163" t="n">
        <v>189.718</v>
      </c>
      <c r="Z16" s="164" t="inlineStr">
        <is>
          <t/>
        </is>
      </c>
      <c r="AA16" s="165" t="inlineStr">
        <is>
          <t/>
        </is>
      </c>
      <c r="AB16" s="166" t="inlineStr">
        <is>
          <t/>
        </is>
      </c>
      <c r="AC16" s="167" t="inlineStr">
        <is>
          <t/>
        </is>
      </c>
      <c r="AD16" s="168" t="inlineStr">
        <is>
          <t>FY 2016</t>
        </is>
      </c>
      <c r="AE16" s="169" t="inlineStr">
        <is>
          <t>52333-12P</t>
        </is>
      </c>
      <c r="AF16" s="170" t="inlineStr">
        <is>
          <t>Juan Garcia Braschi</t>
        </is>
      </c>
      <c r="AG16" s="171" t="inlineStr">
        <is>
          <t>Chief Financial Officer &amp; General Manager</t>
        </is>
      </c>
      <c r="AH16" s="172" t="inlineStr">
        <is>
          <t>juan@cabify.com</t>
        </is>
      </c>
      <c r="AI16" s="173" t="inlineStr">
        <is>
          <t>+34 91 123 8456</t>
        </is>
      </c>
      <c r="AJ16" s="174" t="inlineStr">
        <is>
          <t>Madrid, Spain</t>
        </is>
      </c>
      <c r="AK16" s="175" t="inlineStr">
        <is>
          <t>Calle Pradillo 42</t>
        </is>
      </c>
      <c r="AL16" s="176" t="inlineStr">
        <is>
          <t/>
        </is>
      </c>
      <c r="AM16" s="177" t="inlineStr">
        <is>
          <t>Madrid</t>
        </is>
      </c>
      <c r="AN16" s="178" t="inlineStr">
        <is>
          <t/>
        </is>
      </c>
      <c r="AO16" s="179" t="inlineStr">
        <is>
          <t>28002</t>
        </is>
      </c>
      <c r="AP16" s="180" t="inlineStr">
        <is>
          <t>Spain</t>
        </is>
      </c>
      <c r="AQ16" s="181" t="inlineStr">
        <is>
          <t>+34 91 123 8456</t>
        </is>
      </c>
      <c r="AR16" s="182" t="inlineStr">
        <is>
          <t/>
        </is>
      </c>
      <c r="AS16" s="183" t="inlineStr">
        <is>
          <t>contact@cabify.com</t>
        </is>
      </c>
      <c r="AT16" s="184" t="inlineStr">
        <is>
          <t>Europe</t>
        </is>
      </c>
      <c r="AU16" s="185" t="inlineStr">
        <is>
          <t>Southern Europe</t>
        </is>
      </c>
      <c r="AV16" s="186" t="inlineStr">
        <is>
          <t>The company received an undisclosed amount of convertible debt from TheVentureCity on October 25, 2017.</t>
        </is>
      </c>
      <c r="AW16" s="187" t="inlineStr">
        <is>
          <t>Adam Sharp, Andrew Dunn, AngelList, Black Vine, Brendan Wallace, Bryan Wolff, Darren Bechtel, E-Merge, Fábrica De Startups, Family Office Association, HitForge, Maurice Werdegar, Max Burger, MD Pham, Otter Rock Capital, Peter Livingston, Rakuten Capital, Red Swan Ventures, Resolute Partners, Seaya Ventures, Seed-Resolute, TheVentureCity, Western Technology Investment, Winklevoss Capital Management</t>
        </is>
      </c>
      <c r="AX16" s="188" t="n">
        <v>24.0</v>
      </c>
      <c r="AY16" s="189" t="inlineStr">
        <is>
          <t/>
        </is>
      </c>
      <c r="AZ16" s="190" t="inlineStr">
        <is>
          <t>Amadeus Ventures, Partner Ventures</t>
        </is>
      </c>
      <c r="BA16" s="191" t="inlineStr">
        <is>
          <t/>
        </is>
      </c>
      <c r="BB16" s="192" t="inlineStr">
        <is>
          <t>AngelList (www.angel.co), Brendan Wallace (identified.com), E-Merge (www.emerge.be), Fábrica De Startups (www.fabricadestartups.com), Family Office Association (www.familyofficesgroup.com), HitForge (www.hitforge.com), Max Burger (www.maxburger.com), Otter Rock Capital (www.otterrockcapital.com), Rakuten Capital (capital.rakuten.com), Red Swan Ventures (redswan.vc), Resolute Partners (www.resolutepartners.com), Seaya Ventures (www.seayaventures.com), Seed-Resolute (www.seedresolute.com), TheVentureCity (www.theventure.city), Western Technology Investment (www.westerntech.com), Winklevoss Capital Management (www.winklevosscapital.com)</t>
        </is>
      </c>
      <c r="BC16" s="193" t="inlineStr">
        <is>
          <t>Partner Ventures (www.partnervc.com)</t>
        </is>
      </c>
      <c r="BD16" s="194" t="inlineStr">
        <is>
          <t/>
        </is>
      </c>
      <c r="BE16" s="195" t="inlineStr">
        <is>
          <t>Wilson Sonsini Goodrich &amp; Rosati (Legal Advisor)</t>
        </is>
      </c>
      <c r="BF16" s="196" t="inlineStr">
        <is>
          <t>Wilson Sonsini Goodrich &amp; Rosati (Legal Advisor), Western Technology Investment (Debt Financing)</t>
        </is>
      </c>
      <c r="BG16" s="197" t="n">
        <v>41168.0</v>
      </c>
      <c r="BH16" s="198" t="n">
        <v>1.5</v>
      </c>
      <c r="BI16" s="199" t="inlineStr">
        <is>
          <t>Actual</t>
        </is>
      </c>
      <c r="BJ16" s="200" t="inlineStr">
        <is>
          <t/>
        </is>
      </c>
      <c r="BK16" s="201" t="inlineStr">
        <is>
          <t/>
        </is>
      </c>
      <c r="BL16" s="202" t="inlineStr">
        <is>
          <t>Early Stage VC</t>
        </is>
      </c>
      <c r="BM16" s="203" t="inlineStr">
        <is>
          <t>Series A</t>
        </is>
      </c>
      <c r="BN16" s="204" t="inlineStr">
        <is>
          <t/>
        </is>
      </c>
      <c r="BO16" s="205" t="inlineStr">
        <is>
          <t>Venture Capital</t>
        </is>
      </c>
      <c r="BP16" s="206" t="inlineStr">
        <is>
          <t/>
        </is>
      </c>
      <c r="BQ16" s="207" t="inlineStr">
        <is>
          <t/>
        </is>
      </c>
      <c r="BR16" s="208" t="inlineStr">
        <is>
          <t/>
        </is>
      </c>
      <c r="BS16" s="209" t="inlineStr">
        <is>
          <t>Completed</t>
        </is>
      </c>
      <c r="BT16" s="210" t="n">
        <v>43033.0</v>
      </c>
      <c r="BU16" s="211" t="inlineStr">
        <is>
          <t/>
        </is>
      </c>
      <c r="BV16" s="212" t="inlineStr">
        <is>
          <t/>
        </is>
      </c>
      <c r="BW16" s="213" t="inlineStr">
        <is>
          <t/>
        </is>
      </c>
      <c r="BX16" s="214" t="inlineStr">
        <is>
          <t/>
        </is>
      </c>
      <c r="BY16" s="215" t="inlineStr">
        <is>
          <t>Convertible Debt</t>
        </is>
      </c>
      <c r="BZ16" s="216" t="inlineStr">
        <is>
          <t/>
        </is>
      </c>
      <c r="CA16" s="217" t="inlineStr">
        <is>
          <t/>
        </is>
      </c>
      <c r="CB16" s="218" t="inlineStr">
        <is>
          <t>Venture Capital</t>
        </is>
      </c>
      <c r="CC16" s="219" t="inlineStr">
        <is>
          <t>Convertible Debt</t>
        </is>
      </c>
      <c r="CD16" s="220" t="inlineStr">
        <is>
          <t/>
        </is>
      </c>
      <c r="CE16" s="221" t="inlineStr">
        <is>
          <t/>
        </is>
      </c>
      <c r="CF16" s="222" t="inlineStr">
        <is>
          <t>Completed</t>
        </is>
      </c>
      <c r="CG16" s="223" t="inlineStr">
        <is>
          <t>-2,75%</t>
        </is>
      </c>
      <c r="CH16" s="224" t="inlineStr">
        <is>
          <t>7</t>
        </is>
      </c>
      <c r="CI16" s="225" t="inlineStr">
        <is>
          <t>1,18%</t>
        </is>
      </c>
      <c r="CJ16" s="226" t="inlineStr">
        <is>
          <t>30,01%</t>
        </is>
      </c>
      <c r="CK16" s="227" t="inlineStr">
        <is>
          <t>-15,82%</t>
        </is>
      </c>
      <c r="CL16" s="228" t="inlineStr">
        <is>
          <t>1</t>
        </is>
      </c>
      <c r="CM16" s="229" t="inlineStr">
        <is>
          <t>0,39%</t>
        </is>
      </c>
      <c r="CN16" s="230" t="inlineStr">
        <is>
          <t>85</t>
        </is>
      </c>
      <c r="CO16" s="231" t="inlineStr">
        <is>
          <t>-31,29%</t>
        </is>
      </c>
      <c r="CP16" s="232" t="inlineStr">
        <is>
          <t>1</t>
        </is>
      </c>
      <c r="CQ16" s="233" t="inlineStr">
        <is>
          <t>-0,35%</t>
        </is>
      </c>
      <c r="CR16" s="234" t="inlineStr">
        <is>
          <t>17</t>
        </is>
      </c>
      <c r="CS16" s="235" t="inlineStr">
        <is>
          <t>0,61%</t>
        </is>
      </c>
      <c r="CT16" s="236" t="inlineStr">
        <is>
          <t>90</t>
        </is>
      </c>
      <c r="CU16" s="237" t="inlineStr">
        <is>
          <t>0,18%</t>
        </is>
      </c>
      <c r="CV16" s="238" t="inlineStr">
        <is>
          <t>75</t>
        </is>
      </c>
      <c r="CW16" s="239" t="inlineStr">
        <is>
          <t>228,51x</t>
        </is>
      </c>
      <c r="CX16" s="240" t="inlineStr">
        <is>
          <t>99</t>
        </is>
      </c>
      <c r="CY16" s="241" t="inlineStr">
        <is>
          <t>1,55x</t>
        </is>
      </c>
      <c r="CZ16" s="242" t="inlineStr">
        <is>
          <t>0,68%</t>
        </is>
      </c>
      <c r="DA16" s="243" t="inlineStr">
        <is>
          <t>8,95x</t>
        </is>
      </c>
      <c r="DB16" s="244" t="inlineStr">
        <is>
          <t>88</t>
        </is>
      </c>
      <c r="DC16" s="245" t="inlineStr">
        <is>
          <t>655,08x</t>
        </is>
      </c>
      <c r="DD16" s="246" t="inlineStr">
        <is>
          <t>100</t>
        </is>
      </c>
      <c r="DE16" s="247" t="inlineStr">
        <is>
          <t>6,21x</t>
        </is>
      </c>
      <c r="DF16" s="248" t="inlineStr">
        <is>
          <t>83</t>
        </is>
      </c>
      <c r="DG16" s="249" t="inlineStr">
        <is>
          <t>11,69x</t>
        </is>
      </c>
      <c r="DH16" s="250" t="inlineStr">
        <is>
          <t>89</t>
        </is>
      </c>
      <c r="DI16" s="251" t="inlineStr">
        <is>
          <t>1.305,55x</t>
        </is>
      </c>
      <c r="DJ16" s="252" t="inlineStr">
        <is>
          <t>100</t>
        </is>
      </c>
      <c r="DK16" s="253" t="inlineStr">
        <is>
          <t>4,61x</t>
        </is>
      </c>
      <c r="DL16" s="254" t="inlineStr">
        <is>
          <t>78</t>
        </is>
      </c>
      <c r="DM16" s="255" t="inlineStr">
        <is>
          <t>2.324</t>
        </is>
      </c>
      <c r="DN16" s="256" t="inlineStr">
        <is>
          <t>-107</t>
        </is>
      </c>
      <c r="DO16" s="257" t="inlineStr">
        <is>
          <t>-4,40%</t>
        </is>
      </c>
      <c r="DP16" s="258" t="inlineStr">
        <is>
          <t>1.031.666</t>
        </is>
      </c>
      <c r="DQ16" s="259" t="inlineStr">
        <is>
          <t>6.531</t>
        </is>
      </c>
      <c r="DR16" s="260" t="inlineStr">
        <is>
          <t>0,64%</t>
        </is>
      </c>
      <c r="DS16" s="261" t="inlineStr">
        <is>
          <t>421</t>
        </is>
      </c>
      <c r="DT16" s="262" t="inlineStr">
        <is>
          <t>-2</t>
        </is>
      </c>
      <c r="DU16" s="263" t="inlineStr">
        <is>
          <t>-0,47%</t>
        </is>
      </c>
      <c r="DV16" s="264" t="inlineStr">
        <is>
          <t>1.721</t>
        </is>
      </c>
      <c r="DW16" s="265" t="inlineStr">
        <is>
          <t>4</t>
        </is>
      </c>
      <c r="DX16" s="266" t="inlineStr">
        <is>
          <t>0,23%</t>
        </is>
      </c>
      <c r="DY16" s="267" t="inlineStr">
        <is>
          <t>PitchBook Research</t>
        </is>
      </c>
      <c r="DZ16" s="786">
        <f>HYPERLINK("https://my.pitchbook.com?c=55246-60", "View company online")</f>
      </c>
    </row>
    <row r="17">
      <c r="A17" s="9" t="inlineStr">
        <is>
          <t>121683-34</t>
        </is>
      </c>
      <c r="B17" s="10" t="inlineStr">
        <is>
          <t>Auto1 Group</t>
        </is>
      </c>
      <c r="C17" s="11" t="inlineStr">
        <is>
          <t/>
        </is>
      </c>
      <c r="D17" s="12" t="inlineStr">
        <is>
          <t>Auto1</t>
        </is>
      </c>
      <c r="E17" s="13" t="inlineStr">
        <is>
          <t>121683-34</t>
        </is>
      </c>
      <c r="F17" s="14" t="inlineStr">
        <is>
          <t>Operator of an online car trading platform intended to sell used cars. The company's online marketplace, with its own certified and diversified inventory, offers a wide range of cars, which allows each partner to find the right vehicle for the individual used car program at competitive market prices, enabling consumers and dealers to trade seamlessly in terms of purchase and sell of used cars.</t>
        </is>
      </c>
      <c r="G17" s="15" t="inlineStr">
        <is>
          <t>Consumer Products and Services (B2C)</t>
        </is>
      </c>
      <c r="H17" s="16" t="inlineStr">
        <is>
          <t>Transportation</t>
        </is>
      </c>
      <c r="I17" s="17" t="inlineStr">
        <is>
          <t>Automotive</t>
        </is>
      </c>
      <c r="J17" s="18" t="inlineStr">
        <is>
          <t>Automotive*; Media and Information Services (B2B); Social/Platform Software</t>
        </is>
      </c>
      <c r="K17" s="19" t="inlineStr">
        <is>
          <t>E-Commerce</t>
        </is>
      </c>
      <c r="L17" s="20" t="inlineStr">
        <is>
          <t>Venture Capital-Backed</t>
        </is>
      </c>
      <c r="M17" s="21" t="n">
        <v>205.3</v>
      </c>
      <c r="N17" s="22" t="inlineStr">
        <is>
          <t>Generating Revenue</t>
        </is>
      </c>
      <c r="O17" s="23" t="inlineStr">
        <is>
          <t>Privately Held (backing)</t>
        </is>
      </c>
      <c r="P17" s="24" t="inlineStr">
        <is>
          <t>Venture Capital, Private Equity</t>
        </is>
      </c>
      <c r="Q17" s="25" t="inlineStr">
        <is>
          <t>www.auto1-group.com</t>
        </is>
      </c>
      <c r="R17" s="26" t="n">
        <v>2000.0</v>
      </c>
      <c r="S17" s="27" t="inlineStr">
        <is>
          <t/>
        </is>
      </c>
      <c r="T17" s="28" t="inlineStr">
        <is>
          <t/>
        </is>
      </c>
      <c r="U17" s="29" t="n">
        <v>2012.0</v>
      </c>
      <c r="V17" s="30" t="inlineStr">
        <is>
          <t/>
        </is>
      </c>
      <c r="W17" s="31" t="inlineStr">
        <is>
          <t/>
        </is>
      </c>
      <c r="X17" s="32" t="inlineStr">
        <is>
          <t/>
        </is>
      </c>
      <c r="Y17" s="33" t="n">
        <v>1574.13768</v>
      </c>
      <c r="Z17" s="34" t="inlineStr">
        <is>
          <t/>
        </is>
      </c>
      <c r="AA17" s="35" t="inlineStr">
        <is>
          <t/>
        </is>
      </c>
      <c r="AB17" s="36" t="inlineStr">
        <is>
          <t/>
        </is>
      </c>
      <c r="AC17" s="37" t="inlineStr">
        <is>
          <t/>
        </is>
      </c>
      <c r="AD17" s="38" t="inlineStr">
        <is>
          <t>FY 2016</t>
        </is>
      </c>
      <c r="AE17" s="39" t="inlineStr">
        <is>
          <t>143164-09P</t>
        </is>
      </c>
      <c r="AF17" s="40" t="inlineStr">
        <is>
          <t>Sören Lange</t>
        </is>
      </c>
      <c r="AG17" s="41" t="inlineStr">
        <is>
          <t>Chief Marketing Officer</t>
        </is>
      </c>
      <c r="AH17" s="42" t="inlineStr">
        <is>
          <t>sl@auto1.com</t>
        </is>
      </c>
      <c r="AI17" s="43" t="inlineStr">
        <is>
          <t>+49 (0)30 2016 3836 0</t>
        </is>
      </c>
      <c r="AJ17" s="44" t="inlineStr">
        <is>
          <t>Berlin, Germany</t>
        </is>
      </c>
      <c r="AK17" s="45" t="inlineStr">
        <is>
          <t>Bergmannstraße 72</t>
        </is>
      </c>
      <c r="AL17" s="46" t="inlineStr">
        <is>
          <t/>
        </is>
      </c>
      <c r="AM17" s="47" t="inlineStr">
        <is>
          <t>Berlin</t>
        </is>
      </c>
      <c r="AN17" s="48" t="inlineStr">
        <is>
          <t/>
        </is>
      </c>
      <c r="AO17" s="49" t="inlineStr">
        <is>
          <t>10961</t>
        </is>
      </c>
      <c r="AP17" s="50" t="inlineStr">
        <is>
          <t>Germany</t>
        </is>
      </c>
      <c r="AQ17" s="51" t="inlineStr">
        <is>
          <t>+49 (0)30 2016 3836 0</t>
        </is>
      </c>
      <c r="AR17" s="52" t="inlineStr">
        <is>
          <t>+49 (0)30 2016 3408</t>
        </is>
      </c>
      <c r="AS17" s="53" t="inlineStr">
        <is>
          <t>info@auto1-group.com</t>
        </is>
      </c>
      <c r="AT17" s="54" t="inlineStr">
        <is>
          <t>Europe</t>
        </is>
      </c>
      <c r="AU17" s="55" t="inlineStr">
        <is>
          <t>Western Europe</t>
        </is>
      </c>
      <c r="AV17" s="56" t="inlineStr">
        <is>
          <t>The company is in talks to raise EUR 100 million of venture funding from SoftBank Group as of November 6, 2017, putting the company's post-money valuation at an estimated EUR 2.5 billion. Previously, the company raised EUR 360 million of venture funding in a combination of debt and equity from Baillie Gifford, Princeville Global and Target Global on May 19, 2017, putting the company's post-money valuation at EUR 2.8 billion. JPMorgan Chase &amp; Company, Goldman Sachs (GSAM Private Credit Group), Citigroup, BNP Paribas, BHF-Bank and Barclays provided debt funding in the round.</t>
        </is>
      </c>
      <c r="AW17" s="57" t="inlineStr">
        <is>
          <t>Baillie Gifford, Cherry Ventures Management, DN Capital, DST Global, Felix Jahn, Panorama Point Partners, Piton Capital, Princeville Global, Target Global, The Mutschler Group, Winter Capital Advisors</t>
        </is>
      </c>
      <c r="AX17" s="58" t="n">
        <v>11.0</v>
      </c>
      <c r="AY17" s="59" t="inlineStr">
        <is>
          <t/>
        </is>
      </c>
      <c r="AZ17" s="60" t="inlineStr">
        <is>
          <t>Simile Venture Partners</t>
        </is>
      </c>
      <c r="BA17" s="61" t="inlineStr">
        <is>
          <t>SoftBank Group</t>
        </is>
      </c>
      <c r="BB17" s="62" t="inlineStr">
        <is>
          <t>Baillie Gifford (www.bailliegifford.com), Cherry Ventures Management (cherry.vc), DN Capital (www.dncapital.com), DST Global (www.dst-global.com), Panorama Point Partners (www.panoramapoint.com), Piton Capital (www.pitoncap.com), Princeville Global (www.princevilleglobal.com), Target Global (www.targetglobal.vc), The Mutschler Group (www.mutschler-immobilien.com), Winter Capital Advisors (www.wintercapital.com)</t>
        </is>
      </c>
      <c r="BC17" s="63" t="inlineStr">
        <is>
          <t>Simile Venture Partners (www.simileventure.com)</t>
        </is>
      </c>
      <c r="BD17" s="64" t="inlineStr">
        <is>
          <t>SoftBank Group (www.softbank.jp)</t>
        </is>
      </c>
      <c r="BE17" s="65" t="inlineStr">
        <is>
          <t/>
        </is>
      </c>
      <c r="BF17" s="66" t="inlineStr">
        <is>
          <t>BHF-Bank (Debt Financing), JPMorgan Chase &amp; Company (Debt Financing), Goldman Sachs (GSAM Credit Alternatives) (Debt Financing), BNP Paribas (D&amp;O Insurance), Citigroup (Debt Financing), Barclays (Debt Financing)</t>
        </is>
      </c>
      <c r="BG17" s="67" t="n">
        <v>41426.0</v>
      </c>
      <c r="BH17" s="68" t="n">
        <v>100.0</v>
      </c>
      <c r="BI17" s="69" t="inlineStr">
        <is>
          <t>Actual</t>
        </is>
      </c>
      <c r="BJ17" s="70" t="inlineStr">
        <is>
          <t/>
        </is>
      </c>
      <c r="BK17" s="71" t="inlineStr">
        <is>
          <t/>
        </is>
      </c>
      <c r="BL17" s="72" t="inlineStr">
        <is>
          <t>Early Stage VC</t>
        </is>
      </c>
      <c r="BM17" s="73" t="inlineStr">
        <is>
          <t>Series A1</t>
        </is>
      </c>
      <c r="BN17" s="74" t="inlineStr">
        <is>
          <t/>
        </is>
      </c>
      <c r="BO17" s="75" t="inlineStr">
        <is>
          <t>Venture Capital</t>
        </is>
      </c>
      <c r="BP17" s="76" t="inlineStr">
        <is>
          <t/>
        </is>
      </c>
      <c r="BQ17" s="77" t="inlineStr">
        <is>
          <t/>
        </is>
      </c>
      <c r="BR17" s="78" t="inlineStr">
        <is>
          <t/>
        </is>
      </c>
      <c r="BS17" s="79" t="inlineStr">
        <is>
          <t>Completed</t>
        </is>
      </c>
      <c r="BT17" s="80" t="n">
        <v>43221.0</v>
      </c>
      <c r="BU17" s="81" t="n">
        <v>100.0</v>
      </c>
      <c r="BV17" s="82" t="inlineStr">
        <is>
          <t>Actual</t>
        </is>
      </c>
      <c r="BW17" s="83" t="n">
        <v>2500.0</v>
      </c>
      <c r="BX17" s="84" t="inlineStr">
        <is>
          <t>Estimated</t>
        </is>
      </c>
      <c r="BY17" s="85" t="inlineStr">
        <is>
          <t>Later Stage VC</t>
        </is>
      </c>
      <c r="BZ17" s="86" t="inlineStr">
        <is>
          <t/>
        </is>
      </c>
      <c r="CA17" s="87" t="inlineStr">
        <is>
          <t/>
        </is>
      </c>
      <c r="CB17" s="88" t="inlineStr">
        <is>
          <t>Venture Capital</t>
        </is>
      </c>
      <c r="CC17" s="89" t="inlineStr">
        <is>
          <t/>
        </is>
      </c>
      <c r="CD17" s="90" t="inlineStr">
        <is>
          <t/>
        </is>
      </c>
      <c r="CE17" s="91" t="inlineStr">
        <is>
          <t/>
        </is>
      </c>
      <c r="CF17" s="92" t="inlineStr">
        <is>
          <t>Upcoming</t>
        </is>
      </c>
      <c r="CG17" s="93" t="inlineStr">
        <is>
          <t>0,00%</t>
        </is>
      </c>
      <c r="CH17" s="94" t="inlineStr">
        <is>
          <t>33</t>
        </is>
      </c>
      <c r="CI17" s="95" t="inlineStr">
        <is>
          <t>0,00%</t>
        </is>
      </c>
      <c r="CJ17" s="96" t="inlineStr">
        <is>
          <t>0,00%</t>
        </is>
      </c>
      <c r="CK17" s="97" t="inlineStr">
        <is>
          <t>0,00%</t>
        </is>
      </c>
      <c r="CL17" s="98" t="inlineStr">
        <is>
          <t>28</t>
        </is>
      </c>
      <c r="CM17" s="99" t="inlineStr">
        <is>
          <t>0,00%</t>
        </is>
      </c>
      <c r="CN17" s="100" t="inlineStr">
        <is>
          <t>20</t>
        </is>
      </c>
      <c r="CO17" s="101" t="inlineStr">
        <is>
          <t>0,00%</t>
        </is>
      </c>
      <c r="CP17" s="102" t="inlineStr">
        <is>
          <t>37</t>
        </is>
      </c>
      <c r="CQ17" s="103" t="inlineStr">
        <is>
          <t>0,00%</t>
        </is>
      </c>
      <c r="CR17" s="104" t="inlineStr">
        <is>
          <t>20</t>
        </is>
      </c>
      <c r="CS17" s="105" t="inlineStr">
        <is>
          <t/>
        </is>
      </c>
      <c r="CT17" s="106" t="inlineStr">
        <is>
          <t/>
        </is>
      </c>
      <c r="CU17" s="107" t="inlineStr">
        <is>
          <t>0,00%</t>
        </is>
      </c>
      <c r="CV17" s="108" t="inlineStr">
        <is>
          <t>21</t>
        </is>
      </c>
      <c r="CW17" s="109" t="inlineStr">
        <is>
          <t>0,82x</t>
        </is>
      </c>
      <c r="CX17" s="110" t="inlineStr">
        <is>
          <t>44</t>
        </is>
      </c>
      <c r="CY17" s="111" t="inlineStr">
        <is>
          <t>0,01x</t>
        </is>
      </c>
      <c r="CZ17" s="112" t="inlineStr">
        <is>
          <t>1,44%</t>
        </is>
      </c>
      <c r="DA17" s="113" t="inlineStr">
        <is>
          <t>1,49x</t>
        </is>
      </c>
      <c r="DB17" s="114" t="inlineStr">
        <is>
          <t>60</t>
        </is>
      </c>
      <c r="DC17" s="115" t="inlineStr">
        <is>
          <t>0,16x</t>
        </is>
      </c>
      <c r="DD17" s="116" t="inlineStr">
        <is>
          <t>18</t>
        </is>
      </c>
      <c r="DE17" s="117" t="inlineStr">
        <is>
          <t>1,26x</t>
        </is>
      </c>
      <c r="DF17" s="118" t="inlineStr">
        <is>
          <t>56</t>
        </is>
      </c>
      <c r="DG17" s="119" t="inlineStr">
        <is>
          <t>1,72x</t>
        </is>
      </c>
      <c r="DH17" s="120" t="inlineStr">
        <is>
          <t>62</t>
        </is>
      </c>
      <c r="DI17" s="121" t="inlineStr">
        <is>
          <t/>
        </is>
      </c>
      <c r="DJ17" s="122" t="inlineStr">
        <is>
          <t/>
        </is>
      </c>
      <c r="DK17" s="123" t="inlineStr">
        <is>
          <t>0,16x</t>
        </is>
      </c>
      <c r="DL17" s="124" t="inlineStr">
        <is>
          <t>21</t>
        </is>
      </c>
      <c r="DM17" s="125" t="inlineStr">
        <is>
          <t>472</t>
        </is>
      </c>
      <c r="DN17" s="126" t="inlineStr">
        <is>
          <t>-11</t>
        </is>
      </c>
      <c r="DO17" s="127" t="inlineStr">
        <is>
          <t>-2,28%</t>
        </is>
      </c>
      <c r="DP17" s="128" t="inlineStr">
        <is>
          <t/>
        </is>
      </c>
      <c r="DQ17" s="129" t="inlineStr">
        <is>
          <t/>
        </is>
      </c>
      <c r="DR17" s="130" t="inlineStr">
        <is>
          <t/>
        </is>
      </c>
      <c r="DS17" s="131" t="inlineStr">
        <is>
          <t>61</t>
        </is>
      </c>
      <c r="DT17" s="132" t="inlineStr">
        <is>
          <t>2</t>
        </is>
      </c>
      <c r="DU17" s="133" t="inlineStr">
        <is>
          <t>3,39%</t>
        </is>
      </c>
      <c r="DV17" s="134" t="inlineStr">
        <is>
          <t>58</t>
        </is>
      </c>
      <c r="DW17" s="135" t="inlineStr">
        <is>
          <t>0</t>
        </is>
      </c>
      <c r="DX17" s="136" t="inlineStr">
        <is>
          <t>0,00%</t>
        </is>
      </c>
      <c r="DY17" s="137" t="inlineStr">
        <is>
          <t>PitchBook Research</t>
        </is>
      </c>
      <c r="DZ17" s="785">
        <f>HYPERLINK("https://my.pitchbook.com?c=121683-34", "View company online")</f>
      </c>
    </row>
    <row r="18">
      <c r="A18" s="139" t="inlineStr">
        <is>
          <t>56324-08</t>
        </is>
      </c>
      <c r="B18" s="140" t="inlineStr">
        <is>
          <t>auxmoney</t>
        </is>
      </c>
      <c r="C18" s="141" t="inlineStr">
        <is>
          <t/>
        </is>
      </c>
      <c r="D18" s="142" t="inlineStr">
        <is>
          <t/>
        </is>
      </c>
      <c r="E18" s="143" t="inlineStr">
        <is>
          <t>56324-08</t>
        </is>
      </c>
      <c r="F18" s="144" t="inlineStr">
        <is>
          <t>Provider of online marketplace for peer-to-peer lending created to offer a means of exchange between people. The company's peer-to-peer lending platform allows private consumers to borrow from private investors for personal loans, providing borrowers a bank free borrowing system and a return on investment for lenders.</t>
        </is>
      </c>
      <c r="G18" s="145" t="inlineStr">
        <is>
          <t>Financial Services</t>
        </is>
      </c>
      <c r="H18" s="146" t="inlineStr">
        <is>
          <t>Other Financial Services</t>
        </is>
      </c>
      <c r="I18" s="147" t="inlineStr">
        <is>
          <t>Consumer Finance</t>
        </is>
      </c>
      <c r="J18" s="148" t="inlineStr">
        <is>
          <t>Consumer Finance*; Social/Platform Software</t>
        </is>
      </c>
      <c r="K18" s="149" t="inlineStr">
        <is>
          <t>FinTech</t>
        </is>
      </c>
      <c r="L18" s="150" t="inlineStr">
        <is>
          <t>Venture Capital-Backed</t>
        </is>
      </c>
      <c r="M18" s="151" t="n">
        <v>195.89</v>
      </c>
      <c r="N18" s="152" t="inlineStr">
        <is>
          <t>Generating Revenue</t>
        </is>
      </c>
      <c r="O18" s="153" t="inlineStr">
        <is>
          <t>Privately Held (backing)</t>
        </is>
      </c>
      <c r="P18" s="154" t="inlineStr">
        <is>
          <t>Venture Capital</t>
        </is>
      </c>
      <c r="Q18" s="155" t="inlineStr">
        <is>
          <t>www.auxmoney.com</t>
        </is>
      </c>
      <c r="R18" s="156" t="n">
        <v>110.0</v>
      </c>
      <c r="S18" s="157" t="inlineStr">
        <is>
          <t/>
        </is>
      </c>
      <c r="T18" s="158" t="inlineStr">
        <is>
          <t/>
        </is>
      </c>
      <c r="U18" s="159" t="n">
        <v>2007.0</v>
      </c>
      <c r="V18" s="160" t="inlineStr">
        <is>
          <t/>
        </is>
      </c>
      <c r="W18" s="161" t="inlineStr">
        <is>
          <t/>
        </is>
      </c>
      <c r="X18" s="162" t="inlineStr">
        <is>
          <t/>
        </is>
      </c>
      <c r="Y18" s="163" t="inlineStr">
        <is>
          <t/>
        </is>
      </c>
      <c r="Z18" s="164" t="inlineStr">
        <is>
          <t/>
        </is>
      </c>
      <c r="AA18" s="165" t="inlineStr">
        <is>
          <t/>
        </is>
      </c>
      <c r="AB18" s="166" t="inlineStr">
        <is>
          <t/>
        </is>
      </c>
      <c r="AC18" s="167" t="inlineStr">
        <is>
          <t/>
        </is>
      </c>
      <c r="AD18" s="168" t="inlineStr">
        <is>
          <t/>
        </is>
      </c>
      <c r="AE18" s="169" t="inlineStr">
        <is>
          <t>47696-41P</t>
        </is>
      </c>
      <c r="AF18" s="170" t="inlineStr">
        <is>
          <t>Raffael Johnen</t>
        </is>
      </c>
      <c r="AG18" s="171" t="inlineStr">
        <is>
          <t>Co-Founder, Chief Executive Officer &amp; Managing Director</t>
        </is>
      </c>
      <c r="AH18" s="172" t="inlineStr">
        <is>
          <t>johnen@auxmoney.com</t>
        </is>
      </c>
      <c r="AI18" s="173" t="inlineStr">
        <is>
          <t>+49 (0)21 1737 1000 20</t>
        </is>
      </c>
      <c r="AJ18" s="174" t="inlineStr">
        <is>
          <t>Düsseldorf, Germany</t>
        </is>
      </c>
      <c r="AK18" s="175" t="inlineStr">
        <is>
          <t>Königsallee 60F</t>
        </is>
      </c>
      <c r="AL18" s="176" t="inlineStr">
        <is>
          <t/>
        </is>
      </c>
      <c r="AM18" s="177" t="inlineStr">
        <is>
          <t>Düsseldorf</t>
        </is>
      </c>
      <c r="AN18" s="178" t="inlineStr">
        <is>
          <t/>
        </is>
      </c>
      <c r="AO18" s="179" t="inlineStr">
        <is>
          <t>40212</t>
        </is>
      </c>
      <c r="AP18" s="180" t="inlineStr">
        <is>
          <t>Germany</t>
        </is>
      </c>
      <c r="AQ18" s="181" t="inlineStr">
        <is>
          <t>+49 (0)21 1737 1000 20</t>
        </is>
      </c>
      <c r="AR18" s="182" t="inlineStr">
        <is>
          <t>+49 (0)21 1542 4329 8</t>
        </is>
      </c>
      <c r="AS18" s="183" t="inlineStr">
        <is>
          <t>info@auxmoney.com</t>
        </is>
      </c>
      <c r="AT18" s="184" t="inlineStr">
        <is>
          <t>Europe</t>
        </is>
      </c>
      <c r="AU18" s="185" t="inlineStr">
        <is>
          <t>Western Europe</t>
        </is>
      </c>
      <c r="AV18" s="186" t="inlineStr">
        <is>
          <t>SevenVentures sold a stake in the company to Crosslantic Capital on June 28, 2017. Previously, the company raised EUR 15 million of Series E venture funding in a round led by Aegon on January 24, 2017. Other undisclosed existing investors also participated in this round.</t>
        </is>
      </c>
      <c r="AW18" s="187" t="inlineStr">
        <is>
          <t>Aegon, Crosslantic Capital, Foundation Capital, Index Ventures (UK), Individual Investor, Partech Ventures, Robert Stafler, SAB Capital, Transamerica Ventures, Union Square Ventures</t>
        </is>
      </c>
      <c r="AX18" s="188" t="n">
        <v>10.0</v>
      </c>
      <c r="AY18" s="189" t="inlineStr">
        <is>
          <t/>
        </is>
      </c>
      <c r="AZ18" s="190" t="inlineStr">
        <is>
          <t>SevenVentures</t>
        </is>
      </c>
      <c r="BA18" s="191" t="inlineStr">
        <is>
          <t/>
        </is>
      </c>
      <c r="BB18" s="192" t="inlineStr">
        <is>
          <t>Aegon (www.aegon.com), Crosslantic Capital (www.crosslantic.com), Foundation Capital (www.foundationcapital.com), Index Ventures (UK) (www.indexventures.com), Partech Ventures (www.partechventures.com), SAB Capital (www.sabcapital.com), Transamerica Ventures (www.transamericaventures.com), Union Square Ventures (www.usv.com)</t>
        </is>
      </c>
      <c r="BC18" s="193" t="inlineStr">
        <is>
          <t>SevenVentures (www.sevenventures.de)</t>
        </is>
      </c>
      <c r="BD18" s="194" t="inlineStr">
        <is>
          <t/>
        </is>
      </c>
      <c r="BE18" s="195" t="inlineStr">
        <is>
          <t/>
        </is>
      </c>
      <c r="BF18" s="196" t="inlineStr">
        <is>
          <t/>
        </is>
      </c>
      <c r="BG18" s="197" t="inlineStr">
        <is>
          <t/>
        </is>
      </c>
      <c r="BH18" s="198" t="inlineStr">
        <is>
          <t/>
        </is>
      </c>
      <c r="BI18" s="199" t="inlineStr">
        <is>
          <t/>
        </is>
      </c>
      <c r="BJ18" s="200" t="inlineStr">
        <is>
          <t/>
        </is>
      </c>
      <c r="BK18" s="201" t="inlineStr">
        <is>
          <t/>
        </is>
      </c>
      <c r="BL18" s="202" t="inlineStr">
        <is>
          <t>Seed Round</t>
        </is>
      </c>
      <c r="BM18" s="203" t="inlineStr">
        <is>
          <t>Seed</t>
        </is>
      </c>
      <c r="BN18" s="204" t="inlineStr">
        <is>
          <t/>
        </is>
      </c>
      <c r="BO18" s="205" t="inlineStr">
        <is>
          <t>Individual</t>
        </is>
      </c>
      <c r="BP18" s="206" t="inlineStr">
        <is>
          <t/>
        </is>
      </c>
      <c r="BQ18" s="207" t="inlineStr">
        <is>
          <t/>
        </is>
      </c>
      <c r="BR18" s="208" t="inlineStr">
        <is>
          <t/>
        </is>
      </c>
      <c r="BS18" s="209" t="inlineStr">
        <is>
          <t>Completed</t>
        </is>
      </c>
      <c r="BT18" s="210" t="n">
        <v>42914.0</v>
      </c>
      <c r="BU18" s="211" t="inlineStr">
        <is>
          <t/>
        </is>
      </c>
      <c r="BV18" s="212" t="inlineStr">
        <is>
          <t/>
        </is>
      </c>
      <c r="BW18" s="213" t="inlineStr">
        <is>
          <t/>
        </is>
      </c>
      <c r="BX18" s="214" t="inlineStr">
        <is>
          <t/>
        </is>
      </c>
      <c r="BY18" s="215" t="inlineStr">
        <is>
          <t>Secondary Transaction - Private</t>
        </is>
      </c>
      <c r="BZ18" s="216" t="inlineStr">
        <is>
          <t/>
        </is>
      </c>
      <c r="CA18" s="217" t="inlineStr">
        <is>
          <t/>
        </is>
      </c>
      <c r="CB18" s="218" t="inlineStr">
        <is>
          <t>Venture Capital</t>
        </is>
      </c>
      <c r="CC18" s="219" t="inlineStr">
        <is>
          <t/>
        </is>
      </c>
      <c r="CD18" s="220" t="inlineStr">
        <is>
          <t/>
        </is>
      </c>
      <c r="CE18" s="221" t="inlineStr">
        <is>
          <t/>
        </is>
      </c>
      <c r="CF18" s="222" t="inlineStr">
        <is>
          <t>Completed</t>
        </is>
      </c>
      <c r="CG18" s="223" t="inlineStr">
        <is>
          <t>-7,39%</t>
        </is>
      </c>
      <c r="CH18" s="224" t="inlineStr">
        <is>
          <t>2</t>
        </is>
      </c>
      <c r="CI18" s="225" t="inlineStr">
        <is>
          <t>0,12%</t>
        </is>
      </c>
      <c r="CJ18" s="226" t="inlineStr">
        <is>
          <t>1,55%</t>
        </is>
      </c>
      <c r="CK18" s="227" t="inlineStr">
        <is>
          <t>-14,87%</t>
        </is>
      </c>
      <c r="CL18" s="228" t="inlineStr">
        <is>
          <t>1</t>
        </is>
      </c>
      <c r="CM18" s="229" t="inlineStr">
        <is>
          <t>0,08%</t>
        </is>
      </c>
      <c r="CN18" s="230" t="inlineStr">
        <is>
          <t>55</t>
        </is>
      </c>
      <c r="CO18" s="231" t="inlineStr">
        <is>
          <t>-28,78%</t>
        </is>
      </c>
      <c r="CP18" s="232" t="inlineStr">
        <is>
          <t>1</t>
        </is>
      </c>
      <c r="CQ18" s="233" t="inlineStr">
        <is>
          <t>-0,97%</t>
        </is>
      </c>
      <c r="CR18" s="234" t="inlineStr">
        <is>
          <t>10</t>
        </is>
      </c>
      <c r="CS18" s="235" t="inlineStr">
        <is>
          <t>0,03%</t>
        </is>
      </c>
      <c r="CT18" s="236" t="inlineStr">
        <is>
          <t>44</t>
        </is>
      </c>
      <c r="CU18" s="237" t="inlineStr">
        <is>
          <t>0,14%</t>
        </is>
      </c>
      <c r="CV18" s="238" t="inlineStr">
        <is>
          <t>71</t>
        </is>
      </c>
      <c r="CW18" s="239" t="inlineStr">
        <is>
          <t>29,06x</t>
        </is>
      </c>
      <c r="CX18" s="240" t="inlineStr">
        <is>
          <t>95</t>
        </is>
      </c>
      <c r="CY18" s="241" t="inlineStr">
        <is>
          <t>-0,23x</t>
        </is>
      </c>
      <c r="CZ18" s="242" t="inlineStr">
        <is>
          <t>-0,77%</t>
        </is>
      </c>
      <c r="DA18" s="243" t="inlineStr">
        <is>
          <t>38,80x</t>
        </is>
      </c>
      <c r="DB18" s="244" t="inlineStr">
        <is>
          <t>97</t>
        </is>
      </c>
      <c r="DC18" s="245" t="inlineStr">
        <is>
          <t>19,33x</t>
        </is>
      </c>
      <c r="DD18" s="246" t="inlineStr">
        <is>
          <t>89</t>
        </is>
      </c>
      <c r="DE18" s="247" t="inlineStr">
        <is>
          <t>1,71x</t>
        </is>
      </c>
      <c r="DF18" s="248" t="inlineStr">
        <is>
          <t>63</t>
        </is>
      </c>
      <c r="DG18" s="249" t="inlineStr">
        <is>
          <t>75,89x</t>
        </is>
      </c>
      <c r="DH18" s="250" t="inlineStr">
        <is>
          <t>98</t>
        </is>
      </c>
      <c r="DI18" s="251" t="inlineStr">
        <is>
          <t>34,85x</t>
        </is>
      </c>
      <c r="DJ18" s="252" t="inlineStr">
        <is>
          <t>91</t>
        </is>
      </c>
      <c r="DK18" s="253" t="inlineStr">
        <is>
          <t>3,80x</t>
        </is>
      </c>
      <c r="DL18" s="254" t="inlineStr">
        <is>
          <t>75</t>
        </is>
      </c>
      <c r="DM18" s="255" t="inlineStr">
        <is>
          <t>627</t>
        </is>
      </c>
      <c r="DN18" s="256" t="inlineStr">
        <is>
          <t>40</t>
        </is>
      </c>
      <c r="DO18" s="257" t="inlineStr">
        <is>
          <t>6,81%</t>
        </is>
      </c>
      <c r="DP18" s="258" t="inlineStr">
        <is>
          <t>27.594</t>
        </is>
      </c>
      <c r="DQ18" s="259" t="inlineStr">
        <is>
          <t>36</t>
        </is>
      </c>
      <c r="DR18" s="260" t="inlineStr">
        <is>
          <t>0,13%</t>
        </is>
      </c>
      <c r="DS18" s="261" t="inlineStr">
        <is>
          <t>2.741</t>
        </is>
      </c>
      <c r="DT18" s="262" t="inlineStr">
        <is>
          <t>-23</t>
        </is>
      </c>
      <c r="DU18" s="263" t="inlineStr">
        <is>
          <t>-0,83%</t>
        </is>
      </c>
      <c r="DV18" s="264" t="inlineStr">
        <is>
          <t>1.424</t>
        </is>
      </c>
      <c r="DW18" s="265" t="inlineStr">
        <is>
          <t>-1</t>
        </is>
      </c>
      <c r="DX18" s="266" t="inlineStr">
        <is>
          <t>-0,07%</t>
        </is>
      </c>
      <c r="DY18" s="267" t="inlineStr">
        <is>
          <t>PitchBook Research</t>
        </is>
      </c>
      <c r="DZ18" s="786">
        <f>HYPERLINK("https://my.pitchbook.com?c=56324-08", "View company online")</f>
      </c>
    </row>
    <row r="19">
      <c r="A19" s="9" t="inlineStr">
        <is>
          <t>53964-82</t>
        </is>
      </c>
      <c r="B19" s="10" t="inlineStr">
        <is>
          <t>Zopa</t>
        </is>
      </c>
      <c r="C19" s="11" t="inlineStr">
        <is>
          <t/>
        </is>
      </c>
      <c r="D19" s="12" t="inlineStr">
        <is>
          <t/>
        </is>
      </c>
      <c r="E19" s="13" t="inlineStr">
        <is>
          <t>53964-82</t>
        </is>
      </c>
      <c r="F19" s="14" t="inlineStr">
        <is>
          <t>Provider of peer-to-peer lending platform designed to make money simple and fair, for everyone. The company's lending platform offers personal loans, connecting community of peers willing to invest their savings and individual borrowers who have been vetted for good financial behavior, while also allowing financial institutions to lend through the platform, providing borrowers with a loan and the lenders with returns on their investments.</t>
        </is>
      </c>
      <c r="G19" s="15" t="inlineStr">
        <is>
          <t>Financial Services</t>
        </is>
      </c>
      <c r="H19" s="16" t="inlineStr">
        <is>
          <t>Other Financial Services</t>
        </is>
      </c>
      <c r="I19" s="17" t="inlineStr">
        <is>
          <t>Other Financial Services</t>
        </is>
      </c>
      <c r="J19" s="18" t="inlineStr">
        <is>
          <t>Other Financial Services*; Specialized Finance; Financial Software; Social/Platform Software</t>
        </is>
      </c>
      <c r="K19" s="19" t="inlineStr">
        <is>
          <t>FinTech</t>
        </is>
      </c>
      <c r="L19" s="20" t="inlineStr">
        <is>
          <t>Venture Capital-Backed</t>
        </is>
      </c>
      <c r="M19" s="21" t="n">
        <v>195.55</v>
      </c>
      <c r="N19" s="22" t="inlineStr">
        <is>
          <t>Generating Revenue</t>
        </is>
      </c>
      <c r="O19" s="23" t="inlineStr">
        <is>
          <t>Privately Held (backing)</t>
        </is>
      </c>
      <c r="P19" s="24" t="inlineStr">
        <is>
          <t>Venture Capital</t>
        </is>
      </c>
      <c r="Q19" s="25" t="inlineStr">
        <is>
          <t>www.zopa.com</t>
        </is>
      </c>
      <c r="R19" s="26" t="n">
        <v>8.0</v>
      </c>
      <c r="S19" s="27" t="inlineStr">
        <is>
          <t/>
        </is>
      </c>
      <c r="T19" s="28" t="inlineStr">
        <is>
          <t/>
        </is>
      </c>
      <c r="U19" s="29" t="n">
        <v>2004.0</v>
      </c>
      <c r="V19" s="30" t="inlineStr">
        <is>
          <t/>
        </is>
      </c>
      <c r="W19" s="31" t="inlineStr">
        <is>
          <t/>
        </is>
      </c>
      <c r="X19" s="32" t="inlineStr">
        <is>
          <r>
            <rPr>
              <b/>
              <color rgb="ff26854d"/>
              <rFont val="Arial"/>
              <sz val="8.0"/>
            </rPr>
            <t>News</t>
          </r>
          <r>
            <rPr>
              <color rgb="ff707070"/>
              <rFont val="Arial"/>
              <sz val="7.0"/>
            </rPr>
            <t xml:space="preserve"> NEW  </t>
          </r>
        </is>
      </c>
      <c r="Y19" s="33" t="n">
        <v>42.72449</v>
      </c>
      <c r="Z19" s="34" t="inlineStr">
        <is>
          <t/>
        </is>
      </c>
      <c r="AA19" s="35" t="inlineStr">
        <is>
          <t/>
        </is>
      </c>
      <c r="AB19" s="36" t="inlineStr">
        <is>
          <t/>
        </is>
      </c>
      <c r="AC19" s="37" t="inlineStr">
        <is>
          <t/>
        </is>
      </c>
      <c r="AD19" s="38" t="inlineStr">
        <is>
          <t>FY 2016</t>
        </is>
      </c>
      <c r="AE19" s="39" t="inlineStr">
        <is>
          <t>82419-13P</t>
        </is>
      </c>
      <c r="AF19" s="40" t="inlineStr">
        <is>
          <t>Jaidev Janardana</t>
        </is>
      </c>
      <c r="AG19" s="41" t="inlineStr">
        <is>
          <t>Board Member, Executive Director and Chief Executive Officer</t>
        </is>
      </c>
      <c r="AH19" s="42" t="inlineStr">
        <is>
          <t>jaidev@zopa.com</t>
        </is>
      </c>
      <c r="AI19" s="43" t="inlineStr">
        <is>
          <t>+44 (0)20 7580 6060</t>
        </is>
      </c>
      <c r="AJ19" s="44" t="inlineStr">
        <is>
          <t>London, United Kingdom</t>
        </is>
      </c>
      <c r="AK19" s="45" t="inlineStr">
        <is>
          <t>Cottons Centre, Tooley Street</t>
        </is>
      </c>
      <c r="AL19" s="46" t="inlineStr">
        <is>
          <t>1st Floor</t>
        </is>
      </c>
      <c r="AM19" s="47" t="inlineStr">
        <is>
          <t>London</t>
        </is>
      </c>
      <c r="AN19" s="48" t="inlineStr">
        <is>
          <t>England</t>
        </is>
      </c>
      <c r="AO19" s="49" t="inlineStr">
        <is>
          <t>SE1 2QG</t>
        </is>
      </c>
      <c r="AP19" s="50" t="inlineStr">
        <is>
          <t>United Kingdom</t>
        </is>
      </c>
      <c r="AQ19" s="51" t="inlineStr">
        <is>
          <t>+44 (0)20 7580 6060</t>
        </is>
      </c>
      <c r="AR19" s="52" t="inlineStr">
        <is>
          <t/>
        </is>
      </c>
      <c r="AS19" s="53" t="inlineStr">
        <is>
          <t>contactus@zopa.com</t>
        </is>
      </c>
      <c r="AT19" s="54" t="inlineStr">
        <is>
          <t>Europe</t>
        </is>
      </c>
      <c r="AU19" s="55" t="inlineStr">
        <is>
          <t>Western Europe</t>
        </is>
      </c>
      <c r="AV19" s="56" t="inlineStr">
        <is>
          <t>The company raised GBP 32 million of venture funding from lead investor Northzone Ventures and Wadhawan Holdings on June 1, 2017. Arrowgrass Capital Partners, Augmentum Capital, Bessemer Venture Partners and Runa Capital also participated.</t>
        </is>
      </c>
      <c r="AW19" s="57" t="inlineStr">
        <is>
          <t>Arrowgrass Capital Partners, Augmentum Capital, Balderton Capital, Benchmark Capital, Bessemer Venture Partners, Corigin Ventures, Draper Associates, Finch Capital, Forward Internet Group, Forward Partners, Individual Investor, J Rothschild Group, JPMorgan Chase &amp; Company, Northzone Ventures, QED Investors, Runa Capital, SoftBank Group, Tabreez Verjee, Wadhawan Holdings, Wellington Partners</t>
        </is>
      </c>
      <c r="AX19" s="58" t="n">
        <v>20.0</v>
      </c>
      <c r="AY19" s="59" t="inlineStr">
        <is>
          <t/>
        </is>
      </c>
      <c r="AZ19" s="60" t="inlineStr">
        <is>
          <t/>
        </is>
      </c>
      <c r="BA19" s="61" t="inlineStr">
        <is>
          <t/>
        </is>
      </c>
      <c r="BB19" s="62" t="inlineStr">
        <is>
          <t>Arrowgrass Capital Partners (www.arrowgrass.com), Augmentum Capital (www.augmentumcapital.com), Balderton Capital (www.balderton.com), Benchmark Capital (www.benchmark.com), Bessemer Venture Partners (www.bvp.com), Corigin Ventures (www.coriginventures.com), Draper Associates (www.draper.vc), Finch Capital (www.ogc-partners.com), Forward Internet Group (www.forward.co.uk), Forward Partners (www.forwardpartners.com), JPMorgan Chase &amp; Company (www.jpmorganchase.com), Northzone Ventures (www.northzone.com), QED Investors (www.qedinvestors.com), Runa Capital (www.runacap.com), SoftBank Group (www.softbank.jp), Wadhawan Holdings (www.wgcworld.com), Wellington Partners (www.wellington-partners.com)</t>
        </is>
      </c>
      <c r="BC19" s="63" t="inlineStr">
        <is>
          <t/>
        </is>
      </c>
      <c r="BD19" s="64" t="inlineStr">
        <is>
          <t/>
        </is>
      </c>
      <c r="BE19" s="65" t="inlineStr">
        <is>
          <t>Royal Bank of Scotland (General Business Banking), Morgan, Lewis &amp; Bockius (Legal Advisor), PwC (Auditor), Future Fifty (Consulting), Renaissance Leadership (Consulting)</t>
        </is>
      </c>
      <c r="BF19" s="66" t="inlineStr">
        <is>
          <t>WilmerHale (Legal Advisor)</t>
        </is>
      </c>
      <c r="BG19" s="67" t="n">
        <v>38353.0</v>
      </c>
      <c r="BH19" s="68" t="n">
        <v>0.76</v>
      </c>
      <c r="BI19" s="69" t="inlineStr">
        <is>
          <t>Actual</t>
        </is>
      </c>
      <c r="BJ19" s="70" t="inlineStr">
        <is>
          <t/>
        </is>
      </c>
      <c r="BK19" s="71" t="inlineStr">
        <is>
          <t/>
        </is>
      </c>
      <c r="BL19" s="72" t="inlineStr">
        <is>
          <t>Early Stage VC</t>
        </is>
      </c>
      <c r="BM19" s="73" t="inlineStr">
        <is>
          <t>Series A</t>
        </is>
      </c>
      <c r="BN19" s="74" t="inlineStr">
        <is>
          <t/>
        </is>
      </c>
      <c r="BO19" s="75" t="inlineStr">
        <is>
          <t>Venture Capital</t>
        </is>
      </c>
      <c r="BP19" s="76" t="inlineStr">
        <is>
          <t/>
        </is>
      </c>
      <c r="BQ19" s="77" t="inlineStr">
        <is>
          <t/>
        </is>
      </c>
      <c r="BR19" s="78" t="inlineStr">
        <is>
          <t/>
        </is>
      </c>
      <c r="BS19" s="79" t="inlineStr">
        <is>
          <t>Completed</t>
        </is>
      </c>
      <c r="BT19" s="80" t="n">
        <v>42887.0</v>
      </c>
      <c r="BU19" s="81" t="n">
        <v>36.48</v>
      </c>
      <c r="BV19" s="82" t="inlineStr">
        <is>
          <t>Actual</t>
        </is>
      </c>
      <c r="BW19" s="83" t="inlineStr">
        <is>
          <t/>
        </is>
      </c>
      <c r="BX19" s="84" t="inlineStr">
        <is>
          <t/>
        </is>
      </c>
      <c r="BY19" s="85" t="inlineStr">
        <is>
          <t>Later Stage VC</t>
        </is>
      </c>
      <c r="BZ19" s="86" t="inlineStr">
        <is>
          <t/>
        </is>
      </c>
      <c r="CA19" s="87" t="inlineStr">
        <is>
          <t/>
        </is>
      </c>
      <c r="CB19" s="88" t="inlineStr">
        <is>
          <t>Venture Capital</t>
        </is>
      </c>
      <c r="CC19" s="89" t="inlineStr">
        <is>
          <t/>
        </is>
      </c>
      <c r="CD19" s="90" t="inlineStr">
        <is>
          <t/>
        </is>
      </c>
      <c r="CE19" s="91" t="inlineStr">
        <is>
          <t/>
        </is>
      </c>
      <c r="CF19" s="92" t="inlineStr">
        <is>
          <t>Completed</t>
        </is>
      </c>
      <c r="CG19" s="93" t="inlineStr">
        <is>
          <t>-7,73%</t>
        </is>
      </c>
      <c r="CH19" s="94" t="inlineStr">
        <is>
          <t>2</t>
        </is>
      </c>
      <c r="CI19" s="95" t="inlineStr">
        <is>
          <t>-0,01%</t>
        </is>
      </c>
      <c r="CJ19" s="96" t="inlineStr">
        <is>
          <t>-0,18%</t>
        </is>
      </c>
      <c r="CK19" s="97" t="inlineStr">
        <is>
          <t>-15,56%</t>
        </is>
      </c>
      <c r="CL19" s="98" t="inlineStr">
        <is>
          <t>1</t>
        </is>
      </c>
      <c r="CM19" s="99" t="inlineStr">
        <is>
          <t>0,10%</t>
        </is>
      </c>
      <c r="CN19" s="100" t="inlineStr">
        <is>
          <t>58</t>
        </is>
      </c>
      <c r="CO19" s="101" t="inlineStr">
        <is>
          <t>-30,29%</t>
        </is>
      </c>
      <c r="CP19" s="102" t="inlineStr">
        <is>
          <t>1</t>
        </is>
      </c>
      <c r="CQ19" s="103" t="inlineStr">
        <is>
          <t>-0,83%</t>
        </is>
      </c>
      <c r="CR19" s="104" t="inlineStr">
        <is>
          <t>12</t>
        </is>
      </c>
      <c r="CS19" s="105" t="inlineStr">
        <is>
          <t>0,05%</t>
        </is>
      </c>
      <c r="CT19" s="106" t="inlineStr">
        <is>
          <t>48</t>
        </is>
      </c>
      <c r="CU19" s="107" t="inlineStr">
        <is>
          <t>0,14%</t>
        </is>
      </c>
      <c r="CV19" s="108" t="inlineStr">
        <is>
          <t>71</t>
        </is>
      </c>
      <c r="CW19" s="109" t="inlineStr">
        <is>
          <t>36,36x</t>
        </is>
      </c>
      <c r="CX19" s="110" t="inlineStr">
        <is>
          <t>96</t>
        </is>
      </c>
      <c r="CY19" s="111" t="inlineStr">
        <is>
          <t>-0,31x</t>
        </is>
      </c>
      <c r="CZ19" s="112" t="inlineStr">
        <is>
          <t>-0,86%</t>
        </is>
      </c>
      <c r="DA19" s="113" t="inlineStr">
        <is>
          <t>44,46x</t>
        </is>
      </c>
      <c r="DB19" s="114" t="inlineStr">
        <is>
          <t>97</t>
        </is>
      </c>
      <c r="DC19" s="115" t="inlineStr">
        <is>
          <t>28,27x</t>
        </is>
      </c>
      <c r="DD19" s="116" t="inlineStr">
        <is>
          <t>92</t>
        </is>
      </c>
      <c r="DE19" s="117" t="inlineStr">
        <is>
          <t>5,02x</t>
        </is>
      </c>
      <c r="DF19" s="118" t="inlineStr">
        <is>
          <t>81</t>
        </is>
      </c>
      <c r="DG19" s="119" t="inlineStr">
        <is>
          <t>83,89x</t>
        </is>
      </c>
      <c r="DH19" s="120" t="inlineStr">
        <is>
          <t>99</t>
        </is>
      </c>
      <c r="DI19" s="121" t="inlineStr">
        <is>
          <t>12,12x</t>
        </is>
      </c>
      <c r="DJ19" s="122" t="inlineStr">
        <is>
          <t>83</t>
        </is>
      </c>
      <c r="DK19" s="123" t="inlineStr">
        <is>
          <t>44,41x</t>
        </is>
      </c>
      <c r="DL19" s="124" t="inlineStr">
        <is>
          <t>96</t>
        </is>
      </c>
      <c r="DM19" s="125" t="inlineStr">
        <is>
          <t>1.887</t>
        </is>
      </c>
      <c r="DN19" s="126" t="inlineStr">
        <is>
          <t>-120</t>
        </is>
      </c>
      <c r="DO19" s="127" t="inlineStr">
        <is>
          <t>-5,98%</t>
        </is>
      </c>
      <c r="DP19" s="128" t="inlineStr">
        <is>
          <t>9.601</t>
        </is>
      </c>
      <c r="DQ19" s="129" t="inlineStr">
        <is>
          <t>1</t>
        </is>
      </c>
      <c r="DR19" s="130" t="inlineStr">
        <is>
          <t>0,01%</t>
        </is>
      </c>
      <c r="DS19" s="131" t="inlineStr">
        <is>
          <t>3.031</t>
        </is>
      </c>
      <c r="DT19" s="132" t="inlineStr">
        <is>
          <t>-26</t>
        </is>
      </c>
      <c r="DU19" s="133" t="inlineStr">
        <is>
          <t>-0,85%</t>
        </is>
      </c>
      <c r="DV19" s="134" t="inlineStr">
        <is>
          <t>16.607</t>
        </is>
      </c>
      <c r="DW19" s="135" t="inlineStr">
        <is>
          <t>19</t>
        </is>
      </c>
      <c r="DX19" s="136" t="inlineStr">
        <is>
          <t>0,11%</t>
        </is>
      </c>
      <c r="DY19" s="137" t="inlineStr">
        <is>
          <t>PitchBook Research</t>
        </is>
      </c>
      <c r="DZ19" s="785">
        <f>HYPERLINK("https://my.pitchbook.com?c=53964-82", "View company online")</f>
      </c>
    </row>
    <row r="20">
      <c r="A20" s="139" t="inlineStr">
        <is>
          <t>108316-45</t>
        </is>
      </c>
      <c r="B20" s="140" t="inlineStr">
        <is>
          <t>Darktrace</t>
        </is>
      </c>
      <c r="C20" s="141" t="inlineStr">
        <is>
          <t/>
        </is>
      </c>
      <c r="D20" s="142" t="inlineStr">
        <is>
          <t/>
        </is>
      </c>
      <c r="E20" s="143" t="inlineStr">
        <is>
          <t>108316-45</t>
        </is>
      </c>
      <c r="F20" s="144" t="inlineStr">
        <is>
          <t>Provider of cyber threat defense systems designed to detect and respond to previously unidentified threats. The company's cyber threat defense systems include detecting emerging cyber-threats and to proactively defend against in-progress cyber-attacks, enabling clients to defend against evolving threats that bypass all other systems.</t>
        </is>
      </c>
      <c r="G20" s="145" t="inlineStr">
        <is>
          <t>Information Technology</t>
        </is>
      </c>
      <c r="H20" s="146" t="inlineStr">
        <is>
          <t>Software</t>
        </is>
      </c>
      <c r="I20" s="147" t="inlineStr">
        <is>
          <t>Network Management Software</t>
        </is>
      </c>
      <c r="J20" s="148" t="inlineStr">
        <is>
          <t>Network Management Software*</t>
        </is>
      </c>
      <c r="K20" s="149" t="inlineStr">
        <is>
          <t>Artificial Intelligence &amp; Machine Learning, Cybersecurity</t>
        </is>
      </c>
      <c r="L20" s="150" t="inlineStr">
        <is>
          <t>Venture Capital-Backed</t>
        </is>
      </c>
      <c r="M20" s="151" t="n">
        <v>164.29</v>
      </c>
      <c r="N20" s="152" t="inlineStr">
        <is>
          <t>Generating Revenue</t>
        </is>
      </c>
      <c r="O20" s="153" t="inlineStr">
        <is>
          <t>Privately Held (backing)</t>
        </is>
      </c>
      <c r="P20" s="154" t="inlineStr">
        <is>
          <t>Venture Capital</t>
        </is>
      </c>
      <c r="Q20" s="155" t="inlineStr">
        <is>
          <t>www.darktrace.com</t>
        </is>
      </c>
      <c r="R20" s="156" t="n">
        <v>500.0</v>
      </c>
      <c r="S20" s="157" t="inlineStr">
        <is>
          <t/>
        </is>
      </c>
      <c r="T20" s="158" t="inlineStr">
        <is>
          <t/>
        </is>
      </c>
      <c r="U20" s="159" t="n">
        <v>2013.0</v>
      </c>
      <c r="V20" s="160" t="inlineStr">
        <is>
          <t/>
        </is>
      </c>
      <c r="W20" s="161" t="inlineStr">
        <is>
          <t/>
        </is>
      </c>
      <c r="X20" s="162" t="inlineStr">
        <is>
          <t/>
        </is>
      </c>
      <c r="Y20" s="163" t="inlineStr">
        <is>
          <t/>
        </is>
      </c>
      <c r="Z20" s="164" t="inlineStr">
        <is>
          <t/>
        </is>
      </c>
      <c r="AA20" s="165" t="inlineStr">
        <is>
          <t/>
        </is>
      </c>
      <c r="AB20" s="166" t="inlineStr">
        <is>
          <t/>
        </is>
      </c>
      <c r="AC20" s="167" t="inlineStr">
        <is>
          <t/>
        </is>
      </c>
      <c r="AD20" s="168" t="inlineStr">
        <is>
          <t/>
        </is>
      </c>
      <c r="AE20" s="169" t="inlineStr">
        <is>
          <t>95909-77P</t>
        </is>
      </c>
      <c r="AF20" s="170" t="inlineStr">
        <is>
          <t>Poppy Gustafsson</t>
        </is>
      </c>
      <c r="AG20" s="171" t="inlineStr">
        <is>
          <t>Co-Founder &amp; Chief Executive Officer, EMEA</t>
        </is>
      </c>
      <c r="AH20" s="172" t="inlineStr">
        <is>
          <t>poppy.gustafsson@darktrace.com</t>
        </is>
      </c>
      <c r="AI20" s="173" t="inlineStr">
        <is>
          <t>+44 (0)12 2339 4100</t>
        </is>
      </c>
      <c r="AJ20" s="174" t="inlineStr">
        <is>
          <t>Cambridge, United Kingdom</t>
        </is>
      </c>
      <c r="AK20" s="175" t="inlineStr">
        <is>
          <t>Platinum Building</t>
        </is>
      </c>
      <c r="AL20" s="176" t="inlineStr">
        <is>
          <t>Saint John's Innovation Park</t>
        </is>
      </c>
      <c r="AM20" s="177" t="inlineStr">
        <is>
          <t>Cambridge</t>
        </is>
      </c>
      <c r="AN20" s="178" t="inlineStr">
        <is>
          <t>England</t>
        </is>
      </c>
      <c r="AO20" s="179" t="inlineStr">
        <is>
          <t>CB4 0DS</t>
        </is>
      </c>
      <c r="AP20" s="180" t="inlineStr">
        <is>
          <t>United Kingdom</t>
        </is>
      </c>
      <c r="AQ20" s="181" t="inlineStr">
        <is>
          <t>+44 (0)12 2339 4100</t>
        </is>
      </c>
      <c r="AR20" s="182" t="inlineStr">
        <is>
          <t/>
        </is>
      </c>
      <c r="AS20" s="183" t="inlineStr">
        <is>
          <t>info@darktrace.com</t>
        </is>
      </c>
      <c r="AT20" s="184" t="inlineStr">
        <is>
          <t>Europe</t>
        </is>
      </c>
      <c r="AU20" s="185" t="inlineStr">
        <is>
          <t>Western Europe</t>
        </is>
      </c>
      <c r="AV20" s="186" t="inlineStr">
        <is>
          <t>The company raised $75 million of Series D venture funding in a round led by Insight Venture Partners on July 10, 2017, putting the company's post-valuation at $825 million. Summit Partners, Kohlberg Kravis Roberts and TenEleven Ventures also participated in this round. The funding will be used to expand the company's business operations into more markets. The company has raised a total of $180.5 million to date.</t>
        </is>
      </c>
      <c r="AW20" s="187" t="inlineStr">
        <is>
          <t>Hoxton Ventures, Insight Venture Partners, Invoke Capital, Isomer Capital, Kohlberg Kravis Roberts, Samsung SDS Company, SoftBank Capital, Summit Partners, Talis Capital, Ten Eleven Ventures</t>
        </is>
      </c>
      <c r="AX20" s="188" t="n">
        <v>10.0</v>
      </c>
      <c r="AY20" s="189" t="inlineStr">
        <is>
          <t/>
        </is>
      </c>
      <c r="AZ20" s="190" t="inlineStr">
        <is>
          <t/>
        </is>
      </c>
      <c r="BA20" s="191" t="inlineStr">
        <is>
          <t/>
        </is>
      </c>
      <c r="BB20" s="192" t="inlineStr">
        <is>
          <t>Hoxton Ventures (www.hoxtonventures.com), Insight Venture Partners (www.insightpartners.com), Invoke Capital (www.invokecapital.com), Isomer Capital (www.isomercapital.org), Kohlberg Kravis Roberts (www.kkr.com), Samsung SDS Company (www.samsungsds.com), SoftBank Capital (www.softbankvc.com), Summit Partners (www.summitpartners.com), Talis Capital (www.taliscapital.com), Ten Eleven Ventures (www.1011vc.com)</t>
        </is>
      </c>
      <c r="BC20" s="193" t="inlineStr">
        <is>
          <t/>
        </is>
      </c>
      <c r="BD20" s="194" t="inlineStr">
        <is>
          <t/>
        </is>
      </c>
      <c r="BE20" s="195" t="inlineStr">
        <is>
          <t>Kirkland &amp; Ellis (Legal Advisor), Montgomery &amp; Company (Advisor: General), Grant Thornton UK (Auditor)</t>
        </is>
      </c>
      <c r="BF20" s="196" t="inlineStr">
        <is>
          <t/>
        </is>
      </c>
      <c r="BG20" s="197" t="n">
        <v>41533.0</v>
      </c>
      <c r="BH20" s="198" t="inlineStr">
        <is>
          <t/>
        </is>
      </c>
      <c r="BI20" s="199" t="inlineStr">
        <is>
          <t/>
        </is>
      </c>
      <c r="BJ20" s="200" t="inlineStr">
        <is>
          <t/>
        </is>
      </c>
      <c r="BK20" s="201" t="inlineStr">
        <is>
          <t/>
        </is>
      </c>
      <c r="BL20" s="202" t="inlineStr">
        <is>
          <t>Early Stage VC</t>
        </is>
      </c>
      <c r="BM20" s="203" t="inlineStr">
        <is>
          <t/>
        </is>
      </c>
      <c r="BN20" s="204" t="inlineStr">
        <is>
          <t/>
        </is>
      </c>
      <c r="BO20" s="205" t="inlineStr">
        <is>
          <t>Venture Capital</t>
        </is>
      </c>
      <c r="BP20" s="206" t="inlineStr">
        <is>
          <t/>
        </is>
      </c>
      <c r="BQ20" s="207" t="inlineStr">
        <is>
          <t/>
        </is>
      </c>
      <c r="BR20" s="208" t="inlineStr">
        <is>
          <t/>
        </is>
      </c>
      <c r="BS20" s="209" t="inlineStr">
        <is>
          <t>Completed</t>
        </is>
      </c>
      <c r="BT20" s="210" t="n">
        <v>42926.0</v>
      </c>
      <c r="BU20" s="211" t="n">
        <v>65.14</v>
      </c>
      <c r="BV20" s="212" t="inlineStr">
        <is>
          <t>Actual</t>
        </is>
      </c>
      <c r="BW20" s="213" t="n">
        <v>716.52</v>
      </c>
      <c r="BX20" s="214" t="inlineStr">
        <is>
          <t>Actual</t>
        </is>
      </c>
      <c r="BY20" s="215" t="inlineStr">
        <is>
          <t>Later Stage VC</t>
        </is>
      </c>
      <c r="BZ20" s="216" t="inlineStr">
        <is>
          <t>Series D</t>
        </is>
      </c>
      <c r="CA20" s="217" t="inlineStr">
        <is>
          <t/>
        </is>
      </c>
      <c r="CB20" s="218" t="inlineStr">
        <is>
          <t>Venture Capital</t>
        </is>
      </c>
      <c r="CC20" s="219" t="inlineStr">
        <is>
          <t/>
        </is>
      </c>
      <c r="CD20" s="220" t="inlineStr">
        <is>
          <t/>
        </is>
      </c>
      <c r="CE20" s="221" t="inlineStr">
        <is>
          <t/>
        </is>
      </c>
      <c r="CF20" s="222" t="inlineStr">
        <is>
          <t>Completed</t>
        </is>
      </c>
      <c r="CG20" s="223" t="inlineStr">
        <is>
          <t>0,07%</t>
        </is>
      </c>
      <c r="CH20" s="224" t="inlineStr">
        <is>
          <t>80</t>
        </is>
      </c>
      <c r="CI20" s="225" t="inlineStr">
        <is>
          <t>-0,07%</t>
        </is>
      </c>
      <c r="CJ20" s="226" t="inlineStr">
        <is>
          <t>-51,50%</t>
        </is>
      </c>
      <c r="CK20" s="227" t="inlineStr">
        <is>
          <t>-3,63%</t>
        </is>
      </c>
      <c r="CL20" s="228" t="inlineStr">
        <is>
          <t>10</t>
        </is>
      </c>
      <c r="CM20" s="229" t="inlineStr">
        <is>
          <t>1,19%</t>
        </is>
      </c>
      <c r="CN20" s="230" t="inlineStr">
        <is>
          <t>97</t>
        </is>
      </c>
      <c r="CO20" s="231" t="inlineStr">
        <is>
          <t>-8,29%</t>
        </is>
      </c>
      <c r="CP20" s="232" t="inlineStr">
        <is>
          <t>15</t>
        </is>
      </c>
      <c r="CQ20" s="233" t="inlineStr">
        <is>
          <t>1,03%</t>
        </is>
      </c>
      <c r="CR20" s="234" t="inlineStr">
        <is>
          <t>93</t>
        </is>
      </c>
      <c r="CS20" s="235" t="inlineStr">
        <is>
          <t/>
        </is>
      </c>
      <c r="CT20" s="236" t="inlineStr">
        <is>
          <t/>
        </is>
      </c>
      <c r="CU20" s="237" t="inlineStr">
        <is>
          <t>1,19%</t>
        </is>
      </c>
      <c r="CV20" s="238" t="inlineStr">
        <is>
          <t>97</t>
        </is>
      </c>
      <c r="CW20" s="239" t="inlineStr">
        <is>
          <t>17,25x</t>
        </is>
      </c>
      <c r="CX20" s="240" t="inlineStr">
        <is>
          <t>92</t>
        </is>
      </c>
      <c r="CY20" s="241" t="inlineStr">
        <is>
          <t>0,05x</t>
        </is>
      </c>
      <c r="CZ20" s="242" t="inlineStr">
        <is>
          <t>0,32%</t>
        </is>
      </c>
      <c r="DA20" s="243" t="inlineStr">
        <is>
          <t>34,83x</t>
        </is>
      </c>
      <c r="DB20" s="244" t="inlineStr">
        <is>
          <t>96</t>
        </is>
      </c>
      <c r="DC20" s="245" t="inlineStr">
        <is>
          <t>15,18x</t>
        </is>
      </c>
      <c r="DD20" s="246" t="inlineStr">
        <is>
          <t>88</t>
        </is>
      </c>
      <c r="DE20" s="247" t="inlineStr">
        <is>
          <t>25,32x</t>
        </is>
      </c>
      <c r="DF20" s="248" t="inlineStr">
        <is>
          <t>94</t>
        </is>
      </c>
      <c r="DG20" s="249" t="inlineStr">
        <is>
          <t>44,33x</t>
        </is>
      </c>
      <c r="DH20" s="250" t="inlineStr">
        <is>
          <t>97</t>
        </is>
      </c>
      <c r="DI20" s="251" t="inlineStr">
        <is>
          <t/>
        </is>
      </c>
      <c r="DJ20" s="252" t="inlineStr">
        <is>
          <t/>
        </is>
      </c>
      <c r="DK20" s="253" t="inlineStr">
        <is>
          <t>15,18x</t>
        </is>
      </c>
      <c r="DL20" s="254" t="inlineStr">
        <is>
          <t>90</t>
        </is>
      </c>
      <c r="DM20" s="255" t="inlineStr">
        <is>
          <t>9.396</t>
        </is>
      </c>
      <c r="DN20" s="256" t="inlineStr">
        <is>
          <t>-10</t>
        </is>
      </c>
      <c r="DO20" s="257" t="inlineStr">
        <is>
          <t>-0,11%</t>
        </is>
      </c>
      <c r="DP20" s="258" t="inlineStr">
        <is>
          <t/>
        </is>
      </c>
      <c r="DQ20" s="259" t="inlineStr">
        <is>
          <t/>
        </is>
      </c>
      <c r="DR20" s="260" t="inlineStr">
        <is>
          <t/>
        </is>
      </c>
      <c r="DS20" s="261" t="inlineStr">
        <is>
          <t>1.590</t>
        </is>
      </c>
      <c r="DT20" s="262" t="inlineStr">
        <is>
          <t>14</t>
        </is>
      </c>
      <c r="DU20" s="263" t="inlineStr">
        <is>
          <t>0,89%</t>
        </is>
      </c>
      <c r="DV20" s="264" t="inlineStr">
        <is>
          <t>5.654</t>
        </is>
      </c>
      <c r="DW20" s="265" t="inlineStr">
        <is>
          <t>61</t>
        </is>
      </c>
      <c r="DX20" s="266" t="inlineStr">
        <is>
          <t>1,09%</t>
        </is>
      </c>
      <c r="DY20" s="267" t="inlineStr">
        <is>
          <t>PitchBook Research</t>
        </is>
      </c>
      <c r="DZ20" s="786">
        <f>HYPERLINK("https://my.pitchbook.com?c=108316-45", "View company online")</f>
      </c>
    </row>
    <row r="21">
      <c r="A21" s="9" t="inlineStr">
        <is>
          <t>53744-68</t>
        </is>
      </c>
      <c r="B21" s="10" t="inlineStr">
        <is>
          <t>Secret Escapes</t>
        </is>
      </c>
      <c r="C21" s="11" t="inlineStr">
        <is>
          <t/>
        </is>
      </c>
      <c r="D21" s="12" t="inlineStr">
        <is>
          <t/>
        </is>
      </c>
      <c r="E21" s="13" t="inlineStr">
        <is>
          <t>53744-68</t>
        </is>
      </c>
      <c r="F21" s="14" t="inlineStr">
        <is>
          <t>Provider of members-only travel club application designed to publish flash sales on hotels, cruises and tours. The company's travel club application is a web and mobile based service publishing access to flash sales on four and five-star hotels and getaways, both online and offline, enabling travelers to book their holidays for days, weeks or months in advance.</t>
        </is>
      </c>
      <c r="G21" s="15" t="inlineStr">
        <is>
          <t>Consumer Products and Services (B2C)</t>
        </is>
      </c>
      <c r="H21" s="16" t="inlineStr">
        <is>
          <t>Restaurants, Hotels and Leisure</t>
        </is>
      </c>
      <c r="I21" s="17" t="inlineStr">
        <is>
          <t>Other Restaurants, Hotels and Leisure</t>
        </is>
      </c>
      <c r="J21" s="18" t="inlineStr">
        <is>
          <t>Other Restaurants, Hotels and Leisure*; Information Services (B2C); Social/Platform Software</t>
        </is>
      </c>
      <c r="K21" s="19" t="inlineStr">
        <is>
          <t>Mobile</t>
        </is>
      </c>
      <c r="L21" s="20" t="inlineStr">
        <is>
          <t>Venture Capital-Backed</t>
        </is>
      </c>
      <c r="M21" s="21" t="n">
        <v>161.76</v>
      </c>
      <c r="N21" s="22" t="inlineStr">
        <is>
          <t>Generating Revenue</t>
        </is>
      </c>
      <c r="O21" s="23" t="inlineStr">
        <is>
          <t>Privately Held (backing)</t>
        </is>
      </c>
      <c r="P21" s="24" t="inlineStr">
        <is>
          <t>Venture Capital</t>
        </is>
      </c>
      <c r="Q21" s="25" t="inlineStr">
        <is>
          <t>www.secretescapes.com</t>
        </is>
      </c>
      <c r="R21" s="26" t="n">
        <v>293.0</v>
      </c>
      <c r="S21" s="27" t="inlineStr">
        <is>
          <t/>
        </is>
      </c>
      <c r="T21" s="28" t="inlineStr">
        <is>
          <t/>
        </is>
      </c>
      <c r="U21" s="29" t="n">
        <v>2010.0</v>
      </c>
      <c r="V21" s="30" t="inlineStr">
        <is>
          <t/>
        </is>
      </c>
      <c r="W21" s="31" t="inlineStr">
        <is>
          <t/>
        </is>
      </c>
      <c r="X21" s="32" t="inlineStr">
        <is>
          <t/>
        </is>
      </c>
      <c r="Y21" s="33" t="n">
        <v>85.48723</v>
      </c>
      <c r="Z21" s="34" t="inlineStr">
        <is>
          <t/>
        </is>
      </c>
      <c r="AA21" s="35" t="inlineStr">
        <is>
          <t/>
        </is>
      </c>
      <c r="AB21" s="36" t="inlineStr">
        <is>
          <t/>
        </is>
      </c>
      <c r="AC21" s="37" t="inlineStr">
        <is>
          <t/>
        </is>
      </c>
      <c r="AD21" s="38" t="inlineStr">
        <is>
          <t>FY 2017</t>
        </is>
      </c>
      <c r="AE21" s="39" t="inlineStr">
        <is>
          <t>40001-14P</t>
        </is>
      </c>
      <c r="AF21" s="40" t="inlineStr">
        <is>
          <t>Alexander Saint</t>
        </is>
      </c>
      <c r="AG21" s="41" t="inlineStr">
        <is>
          <t>Co-Founder &amp; Chief Executive Officer</t>
        </is>
      </c>
      <c r="AH21" s="42" t="inlineStr">
        <is>
          <t>alex@secretescapes.com</t>
        </is>
      </c>
      <c r="AI21" s="43" t="inlineStr">
        <is>
          <t>+44 (0)77 1000 5534</t>
        </is>
      </c>
      <c r="AJ21" s="44" t="inlineStr">
        <is>
          <t>London, United Kingdom</t>
        </is>
      </c>
      <c r="AK21" s="45" t="inlineStr">
        <is>
          <t>120 Holborn</t>
        </is>
      </c>
      <c r="AL21" s="46" t="inlineStr">
        <is>
          <t>4th Floor</t>
        </is>
      </c>
      <c r="AM21" s="47" t="inlineStr">
        <is>
          <t>London</t>
        </is>
      </c>
      <c r="AN21" s="48" t="inlineStr">
        <is>
          <t>England</t>
        </is>
      </c>
      <c r="AO21" s="49" t="inlineStr">
        <is>
          <t>EC1N 2TD</t>
        </is>
      </c>
      <c r="AP21" s="50" t="inlineStr">
        <is>
          <t>United Kingdom</t>
        </is>
      </c>
      <c r="AQ21" s="51" t="inlineStr">
        <is>
          <t>+44 (0)20 7887 2772</t>
        </is>
      </c>
      <c r="AR21" s="52" t="inlineStr">
        <is>
          <t/>
        </is>
      </c>
      <c r="AS21" s="53" t="inlineStr">
        <is>
          <t/>
        </is>
      </c>
      <c r="AT21" s="54" t="inlineStr">
        <is>
          <t>Europe</t>
        </is>
      </c>
      <c r="AU21" s="55" t="inlineStr">
        <is>
          <t>Western Europe</t>
        </is>
      </c>
      <c r="AV21" s="56" t="inlineStr">
        <is>
          <t>The company raised GBP 82.95 million of Series D venture funding through a combination of debt and equity in a deal led by Temasek on October 5, 2017, putting the pre-money valuation at GBP 292.87 million. Indinvest Partners and other undisclosed investors also participated in the round. Silicon Valley Bank provided the debt facility. The funds will be used for driving growth and international expansion, including acquisitions.</t>
        </is>
      </c>
      <c r="AW21" s="57" t="inlineStr">
        <is>
          <t>Accomplice VC, Alex Chesterman, Andy McLoughlin, Angel Capital Management, Atlas Venture, GV, IdInvest Partners, Index Ventures (UK), Laurent Laffy, LocalGlobe, Mark Quinn-Newall, Murray Salmon, Octopus Ventures, Robin Klein, Temasek Holdings, U-Start, Venista Ventures</t>
        </is>
      </c>
      <c r="AX21" s="58" t="n">
        <v>17.0</v>
      </c>
      <c r="AY21" s="59" t="inlineStr">
        <is>
          <t/>
        </is>
      </c>
      <c r="AZ21" s="60" t="inlineStr">
        <is>
          <t/>
        </is>
      </c>
      <c r="BA21" s="61" t="inlineStr">
        <is>
          <t/>
        </is>
      </c>
      <c r="BB21" s="62" t="inlineStr">
        <is>
          <t>Accomplice VC (www.accomplice.co), Andy McLoughlin (www.andymcloughlin.co), Angel Capital Management (www.acm.capital), Atlas Venture (www.atlasventure.com), GV (www.gv.com), IdInvest Partners (www.idinvest.com), Index Ventures (UK) (www.indexventures.com), LocalGlobe (www.localglobe.vc), Octopus Ventures (www.octopusventures.com), Robin Klein (www.the-accelerator.blogspot.com), Temasek Holdings (www.temasek.com.sg), U-Start (www.u-start.biz), Venista Ventures (venista-ventures.com)</t>
        </is>
      </c>
      <c r="BC21" s="63" t="inlineStr">
        <is>
          <t/>
        </is>
      </c>
      <c r="BD21" s="64" t="inlineStr">
        <is>
          <t/>
        </is>
      </c>
      <c r="BE21" s="65" t="inlineStr">
        <is>
          <t>EY (Auditor), Orrick, Herrington &amp; Sutcliffe (Legal Advisor), Future Fifty (Consulting), U-Start (Advisor: General)</t>
        </is>
      </c>
      <c r="BF21" s="66" t="inlineStr">
        <is>
          <t>Mills &amp; Reeve (Legal Advisor), Silicon Valley Bank (Debt Financing), Orrick, Herrington &amp; Sutcliffe (Legal Advisor), Torch Partners Corporate Finance (Advisor: General)</t>
        </is>
      </c>
      <c r="BG21" s="67" t="n">
        <v>40664.0</v>
      </c>
      <c r="BH21" s="68" t="n">
        <v>0.74</v>
      </c>
      <c r="BI21" s="69" t="inlineStr">
        <is>
          <t>Actual</t>
        </is>
      </c>
      <c r="BJ21" s="70" t="n">
        <v>2.34</v>
      </c>
      <c r="BK21" s="71" t="inlineStr">
        <is>
          <t>Actual</t>
        </is>
      </c>
      <c r="BL21" s="72" t="inlineStr">
        <is>
          <t>Seed Round</t>
        </is>
      </c>
      <c r="BM21" s="73" t="inlineStr">
        <is>
          <t>Seed</t>
        </is>
      </c>
      <c r="BN21" s="74" t="inlineStr">
        <is>
          <t/>
        </is>
      </c>
      <c r="BO21" s="75" t="inlineStr">
        <is>
          <t>Venture Capital</t>
        </is>
      </c>
      <c r="BP21" s="76" t="inlineStr">
        <is>
          <t/>
        </is>
      </c>
      <c r="BQ21" s="77" t="inlineStr">
        <is>
          <t/>
        </is>
      </c>
      <c r="BR21" s="78" t="inlineStr">
        <is>
          <t/>
        </is>
      </c>
      <c r="BS21" s="79" t="inlineStr">
        <is>
          <t>Completed</t>
        </is>
      </c>
      <c r="BT21" s="80" t="n">
        <v>43013.0</v>
      </c>
      <c r="BU21" s="81" t="n">
        <v>93.14</v>
      </c>
      <c r="BV21" s="82" t="inlineStr">
        <is>
          <t>Actual</t>
        </is>
      </c>
      <c r="BW21" s="83" t="n">
        <v>388.34</v>
      </c>
      <c r="BX21" s="84" t="inlineStr">
        <is>
          <t>Actual</t>
        </is>
      </c>
      <c r="BY21" s="85" t="inlineStr">
        <is>
          <t>Later Stage VC</t>
        </is>
      </c>
      <c r="BZ21" s="86" t="inlineStr">
        <is>
          <t>Series D</t>
        </is>
      </c>
      <c r="CA21" s="87" t="inlineStr">
        <is>
          <t/>
        </is>
      </c>
      <c r="CB21" s="88" t="inlineStr">
        <is>
          <t>Venture Capital</t>
        </is>
      </c>
      <c r="CC21" s="89" t="inlineStr">
        <is>
          <t>Other</t>
        </is>
      </c>
      <c r="CD21" s="90" t="inlineStr">
        <is>
          <t/>
        </is>
      </c>
      <c r="CE21" s="91" t="inlineStr">
        <is>
          <t/>
        </is>
      </c>
      <c r="CF21" s="92" t="inlineStr">
        <is>
          <t>Completed</t>
        </is>
      </c>
      <c r="CG21" s="93" t="inlineStr">
        <is>
          <t>-3,64%</t>
        </is>
      </c>
      <c r="CH21" s="94" t="inlineStr">
        <is>
          <t>5</t>
        </is>
      </c>
      <c r="CI21" s="95" t="inlineStr">
        <is>
          <t>-0,05%</t>
        </is>
      </c>
      <c r="CJ21" s="96" t="inlineStr">
        <is>
          <t>-1,37%</t>
        </is>
      </c>
      <c r="CK21" s="97" t="inlineStr">
        <is>
          <t>-10,98%</t>
        </is>
      </c>
      <c r="CL21" s="98" t="inlineStr">
        <is>
          <t>3</t>
        </is>
      </c>
      <c r="CM21" s="99" t="inlineStr">
        <is>
          <t>3,69%</t>
        </is>
      </c>
      <c r="CN21" s="100" t="inlineStr">
        <is>
          <t>100</t>
        </is>
      </c>
      <c r="CO21" s="101" t="inlineStr">
        <is>
          <t>-22,17%</t>
        </is>
      </c>
      <c r="CP21" s="102" t="inlineStr">
        <is>
          <t>4</t>
        </is>
      </c>
      <c r="CQ21" s="103" t="inlineStr">
        <is>
          <t>0,21%</t>
        </is>
      </c>
      <c r="CR21" s="104" t="inlineStr">
        <is>
          <t>90</t>
        </is>
      </c>
      <c r="CS21" s="105" t="inlineStr">
        <is>
          <t>0,34%</t>
        </is>
      </c>
      <c r="CT21" s="106" t="inlineStr">
        <is>
          <t>80</t>
        </is>
      </c>
      <c r="CU21" s="107" t="inlineStr">
        <is>
          <t>7,05%</t>
        </is>
      </c>
      <c r="CV21" s="108" t="inlineStr">
        <is>
          <t>100</t>
        </is>
      </c>
      <c r="CW21" s="109" t="inlineStr">
        <is>
          <t>1.149,32x</t>
        </is>
      </c>
      <c r="CX21" s="110" t="inlineStr">
        <is>
          <t>100</t>
        </is>
      </c>
      <c r="CY21" s="111" t="inlineStr">
        <is>
          <t>-7,83x</t>
        </is>
      </c>
      <c r="CZ21" s="112" t="inlineStr">
        <is>
          <t>-0,68%</t>
        </is>
      </c>
      <c r="DA21" s="113" t="inlineStr">
        <is>
          <t>71,47x</t>
        </is>
      </c>
      <c r="DB21" s="114" t="inlineStr">
        <is>
          <t>98</t>
        </is>
      </c>
      <c r="DC21" s="115" t="inlineStr">
        <is>
          <t>2.227,18x</t>
        </is>
      </c>
      <c r="DD21" s="116" t="inlineStr">
        <is>
          <t>100</t>
        </is>
      </c>
      <c r="DE21" s="117" t="inlineStr">
        <is>
          <t>88,85x</t>
        </is>
      </c>
      <c r="DF21" s="118" t="inlineStr">
        <is>
          <t>98</t>
        </is>
      </c>
      <c r="DG21" s="119" t="inlineStr">
        <is>
          <t>54,08x</t>
        </is>
      </c>
      <c r="DH21" s="120" t="inlineStr">
        <is>
          <t>98</t>
        </is>
      </c>
      <c r="DI21" s="121" t="inlineStr">
        <is>
          <t>4.450,53x</t>
        </is>
      </c>
      <c r="DJ21" s="122" t="inlineStr">
        <is>
          <t>100</t>
        </is>
      </c>
      <c r="DK21" s="123" t="inlineStr">
        <is>
          <t>3,83x</t>
        </is>
      </c>
      <c r="DL21" s="124" t="inlineStr">
        <is>
          <t>75</t>
        </is>
      </c>
      <c r="DM21" s="125" t="inlineStr">
        <is>
          <t>32.943</t>
        </is>
      </c>
      <c r="DN21" s="126" t="inlineStr">
        <is>
          <t>107</t>
        </is>
      </c>
      <c r="DO21" s="127" t="inlineStr">
        <is>
          <t>0,33%</t>
        </is>
      </c>
      <c r="DP21" s="128" t="inlineStr">
        <is>
          <t>3.524.120</t>
        </is>
      </c>
      <c r="DQ21" s="129" t="inlineStr">
        <is>
          <t>3.065</t>
        </is>
      </c>
      <c r="DR21" s="130" t="inlineStr">
        <is>
          <t>0,09%</t>
        </is>
      </c>
      <c r="DS21" s="131" t="inlineStr">
        <is>
          <t>1.945</t>
        </is>
      </c>
      <c r="DT21" s="132" t="inlineStr">
        <is>
          <t>3</t>
        </is>
      </c>
      <c r="DU21" s="133" t="inlineStr">
        <is>
          <t>0,15%</t>
        </is>
      </c>
      <c r="DV21" s="134" t="inlineStr">
        <is>
          <t>1.431</t>
        </is>
      </c>
      <c r="DW21" s="135" t="inlineStr">
        <is>
          <t>0</t>
        </is>
      </c>
      <c r="DX21" s="136" t="inlineStr">
        <is>
          <t>0,00%</t>
        </is>
      </c>
      <c r="DY21" s="137" t="inlineStr">
        <is>
          <t>PitchBook Research</t>
        </is>
      </c>
      <c r="DZ21" s="785">
        <f>HYPERLINK("https://my.pitchbook.com?c=53744-68", "View company online")</f>
      </c>
    </row>
    <row r="22">
      <c r="A22" s="139" t="inlineStr">
        <is>
          <t>55889-47</t>
        </is>
      </c>
      <c r="B22" s="140" t="inlineStr">
        <is>
          <t>GetYourGuide</t>
        </is>
      </c>
      <c r="C22" s="141" t="inlineStr">
        <is>
          <t/>
        </is>
      </c>
      <c r="D22" s="142" t="inlineStr">
        <is>
          <t/>
        </is>
      </c>
      <c r="E22" s="143" t="inlineStr">
        <is>
          <t>55889-47</t>
        </is>
      </c>
      <c r="F22" s="144" t="inlineStr">
        <is>
          <t>Provider of a web and mobile based online tours and travels platform designed to facilitate the booking of guided international tours. The company's online tours and travels platform utilizes a network of globally connected activities, enabling travelers to organize holidays and book tickets to attractions and for activities guided by local professionals.</t>
        </is>
      </c>
      <c r="G22" s="145" t="inlineStr">
        <is>
          <t>Consumer Products and Services (B2C)</t>
        </is>
      </c>
      <c r="H22" s="146" t="inlineStr">
        <is>
          <t>Media</t>
        </is>
      </c>
      <c r="I22" s="147" t="inlineStr">
        <is>
          <t>Information Services (B2C)</t>
        </is>
      </c>
      <c r="J22" s="148" t="inlineStr">
        <is>
          <t>Information Services (B2C)*; Social/Platform Software</t>
        </is>
      </c>
      <c r="K22" s="149" t="inlineStr">
        <is>
          <t>Mobile</t>
        </is>
      </c>
      <c r="L22" s="150" t="inlineStr">
        <is>
          <t>Venture Capital-Backed</t>
        </is>
      </c>
      <c r="M22" s="151" t="n">
        <v>144.22</v>
      </c>
      <c r="N22" s="152" t="inlineStr">
        <is>
          <t>Generating Revenue</t>
        </is>
      </c>
      <c r="O22" s="153" t="inlineStr">
        <is>
          <t>Privately Held (backing)</t>
        </is>
      </c>
      <c r="P22" s="154" t="inlineStr">
        <is>
          <t>Venture Capital</t>
        </is>
      </c>
      <c r="Q22" s="155" t="inlineStr">
        <is>
          <t>www.getyourguide.com</t>
        </is>
      </c>
      <c r="R22" s="156" t="n">
        <v>450.0</v>
      </c>
      <c r="S22" s="157" t="inlineStr">
        <is>
          <t/>
        </is>
      </c>
      <c r="T22" s="158" t="inlineStr">
        <is>
          <t/>
        </is>
      </c>
      <c r="U22" s="159" t="n">
        <v>2008.0</v>
      </c>
      <c r="V22" s="160" t="inlineStr">
        <is>
          <t/>
        </is>
      </c>
      <c r="W22" s="161" t="inlineStr">
        <is>
          <t/>
        </is>
      </c>
      <c r="X22" s="162" t="inlineStr">
        <is>
          <t/>
        </is>
      </c>
      <c r="Y22" s="163" t="inlineStr">
        <is>
          <t/>
        </is>
      </c>
      <c r="Z22" s="164" t="inlineStr">
        <is>
          <t/>
        </is>
      </c>
      <c r="AA22" s="165" t="inlineStr">
        <is>
          <t/>
        </is>
      </c>
      <c r="AB22" s="166" t="inlineStr">
        <is>
          <t/>
        </is>
      </c>
      <c r="AC22" s="167" t="inlineStr">
        <is>
          <t/>
        </is>
      </c>
      <c r="AD22" s="168" t="inlineStr">
        <is>
          <t>FY 2015</t>
        </is>
      </c>
      <c r="AE22" s="169" t="inlineStr">
        <is>
          <t>52556-95P</t>
        </is>
      </c>
      <c r="AF22" s="170" t="inlineStr">
        <is>
          <t>Johannes Reck</t>
        </is>
      </c>
      <c r="AG22" s="171" t="inlineStr">
        <is>
          <t>Co-Founder &amp; Chief Executive Officer</t>
        </is>
      </c>
      <c r="AH22" s="172" t="inlineStr">
        <is>
          <t>reck@getyourguide.com</t>
        </is>
      </c>
      <c r="AI22" s="173" t="inlineStr">
        <is>
          <t>+49 (0)30 5444 5944</t>
        </is>
      </c>
      <c r="AJ22" s="174" t="inlineStr">
        <is>
          <t>Berlin, Germany</t>
        </is>
      </c>
      <c r="AK22" s="175" t="inlineStr">
        <is>
          <t>Erich-Weinert-Straße 145C</t>
        </is>
      </c>
      <c r="AL22" s="176" t="inlineStr">
        <is>
          <t/>
        </is>
      </c>
      <c r="AM22" s="177" t="inlineStr">
        <is>
          <t>Berlin</t>
        </is>
      </c>
      <c r="AN22" s="178" t="inlineStr">
        <is>
          <t/>
        </is>
      </c>
      <c r="AO22" s="179" t="inlineStr">
        <is>
          <t>10409</t>
        </is>
      </c>
      <c r="AP22" s="180" t="inlineStr">
        <is>
          <t>Germany</t>
        </is>
      </c>
      <c r="AQ22" s="181" t="inlineStr">
        <is>
          <t>+49 (0)30 5444 5944</t>
        </is>
      </c>
      <c r="AR22" s="182" t="inlineStr">
        <is>
          <t/>
        </is>
      </c>
      <c r="AS22" s="183" t="inlineStr">
        <is>
          <t>info@getyourguide.com</t>
        </is>
      </c>
      <c r="AT22" s="184" t="inlineStr">
        <is>
          <t>Europe</t>
        </is>
      </c>
      <c r="AU22" s="185" t="inlineStr">
        <is>
          <t>Western Europe</t>
        </is>
      </c>
      <c r="AV22" s="186" t="inlineStr">
        <is>
          <t>The company raised $75 million of Series D venture funding in a deal led by Battery Ventures on November 2, 2017. Follow on Kohlberg Kravis Roberts, Spark Capital, Highland Europe, Sunstone Capital and Nokia Growth Partners also participated in the round. The company which has raised $170 million in total funding to date, intends to use the funds for international expansion and technological development as strengthens their position as the global market leader for tours, activities and attractions.</t>
        </is>
      </c>
      <c r="AW22" s="187" t="inlineStr">
        <is>
          <t>Battery Ventures, Highland Capital Partners Europe, Kees Koolen, Kohlberg Kravis Roberts, NGP Capital, Peter Read, PROfounders Capital, Queens Road Capital, Spark Capital, Sunstone Capital</t>
        </is>
      </c>
      <c r="AX22" s="188" t="n">
        <v>10.0</v>
      </c>
      <c r="AY22" s="189" t="inlineStr">
        <is>
          <t/>
        </is>
      </c>
      <c r="AZ22" s="190" t="inlineStr">
        <is>
          <t/>
        </is>
      </c>
      <c r="BA22" s="191" t="inlineStr">
        <is>
          <t/>
        </is>
      </c>
      <c r="BB22" s="192" t="inlineStr">
        <is>
          <t>Battery Ventures (www.battery.com), Highland Capital Partners Europe (www.highlandeurope.com), Kohlberg Kravis Roberts (www.kkr.com), NGP Capital (www.ngpcap.com), PROfounders Capital (www.profounderscapital.com), Queens Road Capital (www.queensroadcapital.com), Spark Capital (www.sparkcapital.com), Sunstone Capital (www.sunstone.eu)</t>
        </is>
      </c>
      <c r="BC22" s="193" t="inlineStr">
        <is>
          <t/>
        </is>
      </c>
      <c r="BD22" s="194" t="inlineStr">
        <is>
          <t/>
        </is>
      </c>
      <c r="BE22" s="195" t="inlineStr">
        <is>
          <t>Founders Keepers (Consulting), GLNS (Legal Advisor)</t>
        </is>
      </c>
      <c r="BF22" s="196" t="inlineStr">
        <is>
          <t>Walder Wyss &amp; Partners (Legal Advisor)</t>
        </is>
      </c>
      <c r="BG22" s="197" t="n">
        <v>39814.0</v>
      </c>
      <c r="BH22" s="198" t="n">
        <v>0.37</v>
      </c>
      <c r="BI22" s="199" t="inlineStr">
        <is>
          <t>Actual</t>
        </is>
      </c>
      <c r="BJ22" s="200" t="inlineStr">
        <is>
          <t/>
        </is>
      </c>
      <c r="BK22" s="201" t="inlineStr">
        <is>
          <t/>
        </is>
      </c>
      <c r="BL22" s="202" t="inlineStr">
        <is>
          <t>Seed Round</t>
        </is>
      </c>
      <c r="BM22" s="203" t="inlineStr">
        <is>
          <t>Seed</t>
        </is>
      </c>
      <c r="BN22" s="204" t="inlineStr">
        <is>
          <t/>
        </is>
      </c>
      <c r="BO22" s="205" t="inlineStr">
        <is>
          <t>Venture Capital</t>
        </is>
      </c>
      <c r="BP22" s="206" t="inlineStr">
        <is>
          <t/>
        </is>
      </c>
      <c r="BQ22" s="207" t="inlineStr">
        <is>
          <t/>
        </is>
      </c>
      <c r="BR22" s="208" t="inlineStr">
        <is>
          <t/>
        </is>
      </c>
      <c r="BS22" s="209" t="inlineStr">
        <is>
          <t>Completed</t>
        </is>
      </c>
      <c r="BT22" s="210" t="n">
        <v>43041.0</v>
      </c>
      <c r="BU22" s="211" t="n">
        <v>63.78</v>
      </c>
      <c r="BV22" s="212" t="inlineStr">
        <is>
          <t>Actual</t>
        </is>
      </c>
      <c r="BW22" s="213" t="inlineStr">
        <is>
          <t/>
        </is>
      </c>
      <c r="BX22" s="214" t="inlineStr">
        <is>
          <t/>
        </is>
      </c>
      <c r="BY22" s="215" t="inlineStr">
        <is>
          <t>Later Stage VC</t>
        </is>
      </c>
      <c r="BZ22" s="216" t="inlineStr">
        <is>
          <t>Series D</t>
        </is>
      </c>
      <c r="CA22" s="217" t="inlineStr">
        <is>
          <t/>
        </is>
      </c>
      <c r="CB22" s="218" t="inlineStr">
        <is>
          <t>Venture Capital</t>
        </is>
      </c>
      <c r="CC22" s="219" t="inlineStr">
        <is>
          <t/>
        </is>
      </c>
      <c r="CD22" s="220" t="inlineStr">
        <is>
          <t/>
        </is>
      </c>
      <c r="CE22" s="221" t="inlineStr">
        <is>
          <t/>
        </is>
      </c>
      <c r="CF22" s="222" t="inlineStr">
        <is>
          <t>Completed</t>
        </is>
      </c>
      <c r="CG22" s="223" t="inlineStr">
        <is>
          <t>-0,85%</t>
        </is>
      </c>
      <c r="CH22" s="224" t="inlineStr">
        <is>
          <t>15</t>
        </is>
      </c>
      <c r="CI22" s="225" t="inlineStr">
        <is>
          <t>0,02%</t>
        </is>
      </c>
      <c r="CJ22" s="226" t="inlineStr">
        <is>
          <t>2,45%</t>
        </is>
      </c>
      <c r="CK22" s="227" t="inlineStr">
        <is>
          <t>-9,79%</t>
        </is>
      </c>
      <c r="CL22" s="228" t="inlineStr">
        <is>
          <t>3</t>
        </is>
      </c>
      <c r="CM22" s="229" t="inlineStr">
        <is>
          <t>0,72%</t>
        </is>
      </c>
      <c r="CN22" s="230" t="inlineStr">
        <is>
          <t>93</t>
        </is>
      </c>
      <c r="CO22" s="231" t="inlineStr">
        <is>
          <t>-19,71%</t>
        </is>
      </c>
      <c r="CP22" s="232" t="inlineStr">
        <is>
          <t>5</t>
        </is>
      </c>
      <c r="CQ22" s="233" t="inlineStr">
        <is>
          <t>0,12%</t>
        </is>
      </c>
      <c r="CR22" s="234" t="inlineStr">
        <is>
          <t>90</t>
        </is>
      </c>
      <c r="CS22" s="235" t="inlineStr">
        <is>
          <t>1,10%</t>
        </is>
      </c>
      <c r="CT22" s="236" t="inlineStr">
        <is>
          <t>95</t>
        </is>
      </c>
      <c r="CU22" s="237" t="inlineStr">
        <is>
          <t>0,33%</t>
        </is>
      </c>
      <c r="CV22" s="238" t="inlineStr">
        <is>
          <t>85</t>
        </is>
      </c>
      <c r="CW22" s="239" t="inlineStr">
        <is>
          <t>79,03x</t>
        </is>
      </c>
      <c r="CX22" s="240" t="inlineStr">
        <is>
          <t>98</t>
        </is>
      </c>
      <c r="CY22" s="241" t="inlineStr">
        <is>
          <t>0,25x</t>
        </is>
      </c>
      <c r="CZ22" s="242" t="inlineStr">
        <is>
          <t>0,32%</t>
        </is>
      </c>
      <c r="DA22" s="243" t="inlineStr">
        <is>
          <t>246,91x</t>
        </is>
      </c>
      <c r="DB22" s="244" t="inlineStr">
        <is>
          <t>100</t>
        </is>
      </c>
      <c r="DC22" s="245" t="inlineStr">
        <is>
          <t>61,50x</t>
        </is>
      </c>
      <c r="DD22" s="246" t="inlineStr">
        <is>
          <t>95</t>
        </is>
      </c>
      <c r="DE22" s="247" t="inlineStr">
        <is>
          <t>347,93x</t>
        </is>
      </c>
      <c r="DF22" s="248" t="inlineStr">
        <is>
          <t>99</t>
        </is>
      </c>
      <c r="DG22" s="249" t="inlineStr">
        <is>
          <t>145,89x</t>
        </is>
      </c>
      <c r="DH22" s="250" t="inlineStr">
        <is>
          <t>99</t>
        </is>
      </c>
      <c r="DI22" s="251" t="inlineStr">
        <is>
          <t>108,75x</t>
        </is>
      </c>
      <c r="DJ22" s="252" t="inlineStr">
        <is>
          <t>95</t>
        </is>
      </c>
      <c r="DK22" s="253" t="inlineStr">
        <is>
          <t>14,26x</t>
        </is>
      </c>
      <c r="DL22" s="254" t="inlineStr">
        <is>
          <t>90</t>
        </is>
      </c>
      <c r="DM22" s="255" t="inlineStr">
        <is>
          <t>128.930</t>
        </is>
      </c>
      <c r="DN22" s="256" t="inlineStr">
        <is>
          <t>755</t>
        </is>
      </c>
      <c r="DO22" s="257" t="inlineStr">
        <is>
          <t>0,59%</t>
        </is>
      </c>
      <c r="DP22" s="258" t="inlineStr">
        <is>
          <t>85.603</t>
        </is>
      </c>
      <c r="DQ22" s="259" t="inlineStr">
        <is>
          <t>1.978</t>
        </is>
      </c>
      <c r="DR22" s="260" t="inlineStr">
        <is>
          <t>2,37%</t>
        </is>
      </c>
      <c r="DS22" s="261" t="inlineStr">
        <is>
          <t>5.250</t>
        </is>
      </c>
      <c r="DT22" s="262" t="inlineStr">
        <is>
          <t>5</t>
        </is>
      </c>
      <c r="DU22" s="263" t="inlineStr">
        <is>
          <t>0,10%</t>
        </is>
      </c>
      <c r="DV22" s="264" t="inlineStr">
        <is>
          <t>5.333</t>
        </is>
      </c>
      <c r="DW22" s="265" t="inlineStr">
        <is>
          <t>17</t>
        </is>
      </c>
      <c r="DX22" s="266" t="inlineStr">
        <is>
          <t>0,32%</t>
        </is>
      </c>
      <c r="DY22" s="267" t="inlineStr">
        <is>
          <t>PitchBook Research</t>
        </is>
      </c>
      <c r="DZ22" s="786">
        <f>HYPERLINK("https://my.pitchbook.com?c=55889-47", "View company online")</f>
      </c>
    </row>
    <row r="23">
      <c r="A23" s="9" t="inlineStr">
        <is>
          <t>53965-36</t>
        </is>
      </c>
      <c r="B23" s="10" t="inlineStr">
        <is>
          <t>Heliatek</t>
        </is>
      </c>
      <c r="C23" s="11" t="inlineStr">
        <is>
          <t/>
        </is>
      </c>
      <c r="D23" s="12" t="inlineStr">
        <is>
          <t/>
        </is>
      </c>
      <c r="E23" s="13" t="inlineStr">
        <is>
          <t>53965-36</t>
        </is>
      </c>
      <c r="F23" s="14" t="inlineStr">
        <is>
          <t>Developer and manufacturer of organic photovoltaic (OPV) products intended to offer a sustainable and carbon free future and to push the limits of organic electronics. The company's organic photovoltaic (OPV) products include OPV films for building photovoltaic products for automotive applications and uses roll-to-toll processes in vacuum and inert atmospheres to manufacture its solar films, providing enterprises with sustainable products.</t>
        </is>
      </c>
      <c r="G23" s="15" t="inlineStr">
        <is>
          <t>Information Technology</t>
        </is>
      </c>
      <c r="H23" s="16" t="inlineStr">
        <is>
          <t>Computer Hardware</t>
        </is>
      </c>
      <c r="I23" s="17" t="inlineStr">
        <is>
          <t>Electronic Components</t>
        </is>
      </c>
      <c r="J23" s="18" t="inlineStr">
        <is>
          <t>Electronic Components*; Alternative Energy Equipment; Other Equipment</t>
        </is>
      </c>
      <c r="K23" s="19" t="inlineStr">
        <is>
          <t>CleanTech, Manufacturing</t>
        </is>
      </c>
      <c r="L23" s="20" t="inlineStr">
        <is>
          <t>Venture Capital-Backed</t>
        </is>
      </c>
      <c r="M23" s="21" t="n">
        <v>138.29</v>
      </c>
      <c r="N23" s="22" t="inlineStr">
        <is>
          <t>Generating Revenue</t>
        </is>
      </c>
      <c r="O23" s="23" t="inlineStr">
        <is>
          <t>Privately Held (backing)</t>
        </is>
      </c>
      <c r="P23" s="24" t="inlineStr">
        <is>
          <t>Venture Capital</t>
        </is>
      </c>
      <c r="Q23" s="25" t="inlineStr">
        <is>
          <t>www.heliatek.com</t>
        </is>
      </c>
      <c r="R23" s="26" t="n">
        <v>100.0</v>
      </c>
      <c r="S23" s="27" t="inlineStr">
        <is>
          <t/>
        </is>
      </c>
      <c r="T23" s="28" t="inlineStr">
        <is>
          <t/>
        </is>
      </c>
      <c r="U23" s="29" t="n">
        <v>2006.0</v>
      </c>
      <c r="V23" s="30" t="inlineStr">
        <is>
          <t/>
        </is>
      </c>
      <c r="W23" s="31" t="inlineStr">
        <is>
          <t/>
        </is>
      </c>
      <c r="X23" s="32" t="inlineStr">
        <is>
          <t/>
        </is>
      </c>
      <c r="Y23" s="33" t="inlineStr">
        <is>
          <t/>
        </is>
      </c>
      <c r="Z23" s="34" t="inlineStr">
        <is>
          <t/>
        </is>
      </c>
      <c r="AA23" s="35" t="inlineStr">
        <is>
          <t/>
        </is>
      </c>
      <c r="AB23" s="36" t="inlineStr">
        <is>
          <t/>
        </is>
      </c>
      <c r="AC23" s="37" t="inlineStr">
        <is>
          <t/>
        </is>
      </c>
      <c r="AD23" s="38" t="inlineStr">
        <is>
          <t>FY 2016</t>
        </is>
      </c>
      <c r="AE23" s="39" t="inlineStr">
        <is>
          <t>40402-18P</t>
        </is>
      </c>
      <c r="AF23" s="40" t="inlineStr">
        <is>
          <t>Thibaud Le Seguillon</t>
        </is>
      </c>
      <c r="AG23" s="41" t="inlineStr">
        <is>
          <t>Chief Executive Officer</t>
        </is>
      </c>
      <c r="AH23" s="42" t="inlineStr">
        <is>
          <t>thibaud.leseguillon@heliatek.com</t>
        </is>
      </c>
      <c r="AI23" s="43" t="inlineStr">
        <is>
          <t>+49 (0)35 1213 0343 0</t>
        </is>
      </c>
      <c r="AJ23" s="44" t="inlineStr">
        <is>
          <t>Dresden, Germany</t>
        </is>
      </c>
      <c r="AK23" s="45" t="inlineStr">
        <is>
          <t>Treidlerstraße 3</t>
        </is>
      </c>
      <c r="AL23" s="46" t="inlineStr">
        <is>
          <t/>
        </is>
      </c>
      <c r="AM23" s="47" t="inlineStr">
        <is>
          <t>Dresden</t>
        </is>
      </c>
      <c r="AN23" s="48" t="inlineStr">
        <is>
          <t/>
        </is>
      </c>
      <c r="AO23" s="49" t="inlineStr">
        <is>
          <t>01139</t>
        </is>
      </c>
      <c r="AP23" s="50" t="inlineStr">
        <is>
          <t>Germany</t>
        </is>
      </c>
      <c r="AQ23" s="51" t="inlineStr">
        <is>
          <t>+49 (0)35 1213 0343 0</t>
        </is>
      </c>
      <c r="AR23" s="52" t="inlineStr">
        <is>
          <t>+49 (0)35 1213 0344 0</t>
        </is>
      </c>
      <c r="AS23" s="53" t="inlineStr">
        <is>
          <t>sayhello@heliatek.com</t>
        </is>
      </c>
      <c r="AT23" s="54" t="inlineStr">
        <is>
          <t>Europe</t>
        </is>
      </c>
      <c r="AU23" s="55" t="inlineStr">
        <is>
          <t>Western Europe</t>
        </is>
      </c>
      <c r="AV23" s="56" t="inlineStr">
        <is>
          <t>The company raised EUR 15 million of venture funding from Innogy, ENGIE New Ventures and BASF Venture Capital on October 12, 2017. BNP Paribas, eCAPITAL entrepreneurial Partners, Innogy Venture Capital, Wellington Partners, Aqton and other undisclosed investors also participated in this round.</t>
        </is>
      </c>
      <c r="AW23" s="57" t="inlineStr">
        <is>
          <t>Aqton, BASF Venture Capital, BNP Paribas, CEE Group, CFH Beteiligungsgesellschaft, Chemnitz University of Technology, eCAPITAL entrepreneurial Partners, ENGIE New Ventures, European Regional Development Fund, European Social Fund, GP Bullhound, High-Tech Gründerfonds, Innogy, Innogy Venture Capital, Robert Bosch, RWE, SIB Innovations- und Beteiligungsgesellschaft, Technologiegründerfonds Sachsen, The Innovation and Technology Commission, TUDAG, Wellington Partners</t>
        </is>
      </c>
      <c r="AX23" s="58" t="n">
        <v>21.0</v>
      </c>
      <c r="AY23" s="59" t="inlineStr">
        <is>
          <t/>
        </is>
      </c>
      <c r="AZ23" s="60" t="inlineStr">
        <is>
          <t/>
        </is>
      </c>
      <c r="BA23" s="61" t="inlineStr">
        <is>
          <t/>
        </is>
      </c>
      <c r="BB23" s="62" t="inlineStr">
        <is>
          <t>BASF Venture Capital (www.basf-vc.de), BNP Paribas (www.group.bnpparibas), CEE Group (www.cee-group.net), CFH Beteiligungsgesellschaft (www.cfh.de), Chemnitz University of Technology (www.tu-chemnitz.de), eCAPITAL entrepreneurial Partners (www.ecapital.de), ENGIE New Ventures (www.fab.engie.com), European Regional Development Fund (www.efre.brandenburg.de), European Social Fund (www.esf.de), GP Bullhound (www.gpbullhound.com), High-Tech Gründerfonds (www.high-tech-gruenderfonds.de), Innogy (iam.innogy.com), Innogy Venture Capital (www.innogy-ventures.com), Robert Bosch (www.bosch.com), RWE (www.rwe.com), SIB Innovations- und Beteiligungsgesellschaft (www.sib-dresden.de), Technologiegründerfonds Sachsen (www.tgfs.de), The Innovation and Technology Commission (www.itc.gov.hk), TUDAG (www.tudag.de), Wellington Partners (www.wellington-partners.com)</t>
        </is>
      </c>
      <c r="BC23" s="63" t="inlineStr">
        <is>
          <t/>
        </is>
      </c>
      <c r="BD23" s="64" t="inlineStr">
        <is>
          <t/>
        </is>
      </c>
      <c r="BE23" s="65" t="inlineStr">
        <is>
          <t>KPMG (Auditor)</t>
        </is>
      </c>
      <c r="BF23" s="66" t="inlineStr">
        <is>
          <t>European Investment Bank (Debt Financing), Rothschild &amp; Co (Advisor: General), Noerr (Legal Advisor), GP Bullhound (Advisor: General)</t>
        </is>
      </c>
      <c r="BG23" s="67" t="n">
        <v>38718.0</v>
      </c>
      <c r="BH23" s="68" t="inlineStr">
        <is>
          <t/>
        </is>
      </c>
      <c r="BI23" s="69" t="inlineStr">
        <is>
          <t/>
        </is>
      </c>
      <c r="BJ23" s="70" t="inlineStr">
        <is>
          <t/>
        </is>
      </c>
      <c r="BK23" s="71" t="inlineStr">
        <is>
          <t/>
        </is>
      </c>
      <c r="BL23" s="72" t="inlineStr">
        <is>
          <t>Seed Round</t>
        </is>
      </c>
      <c r="BM23" s="73" t="inlineStr">
        <is>
          <t>Seed</t>
        </is>
      </c>
      <c r="BN23" s="74" t="inlineStr">
        <is>
          <t/>
        </is>
      </c>
      <c r="BO23" s="75" t="inlineStr">
        <is>
          <t>Venture Capital</t>
        </is>
      </c>
      <c r="BP23" s="76" t="inlineStr">
        <is>
          <t/>
        </is>
      </c>
      <c r="BQ23" s="77" t="inlineStr">
        <is>
          <t/>
        </is>
      </c>
      <c r="BR23" s="78" t="inlineStr">
        <is>
          <t/>
        </is>
      </c>
      <c r="BS23" s="79" t="inlineStr">
        <is>
          <t>Completed</t>
        </is>
      </c>
      <c r="BT23" s="80" t="n">
        <v>43020.0</v>
      </c>
      <c r="BU23" s="81" t="n">
        <v>15.0</v>
      </c>
      <c r="BV23" s="82" t="inlineStr">
        <is>
          <t>Actual</t>
        </is>
      </c>
      <c r="BW23" s="83" t="inlineStr">
        <is>
          <t/>
        </is>
      </c>
      <c r="BX23" s="84" t="inlineStr">
        <is>
          <t/>
        </is>
      </c>
      <c r="BY23" s="85" t="inlineStr">
        <is>
          <t>Later Stage VC</t>
        </is>
      </c>
      <c r="BZ23" s="86" t="inlineStr">
        <is>
          <t/>
        </is>
      </c>
      <c r="CA23" s="87" t="inlineStr">
        <is>
          <t/>
        </is>
      </c>
      <c r="CB23" s="88" t="inlineStr">
        <is>
          <t>Venture Capital</t>
        </is>
      </c>
      <c r="CC23" s="89" t="inlineStr">
        <is>
          <t/>
        </is>
      </c>
      <c r="CD23" s="90" t="inlineStr">
        <is>
          <t/>
        </is>
      </c>
      <c r="CE23" s="91" t="inlineStr">
        <is>
          <t/>
        </is>
      </c>
      <c r="CF23" s="92" t="inlineStr">
        <is>
          <t>Completed</t>
        </is>
      </c>
      <c r="CG23" s="93" t="inlineStr">
        <is>
          <t>0,19%</t>
        </is>
      </c>
      <c r="CH23" s="94" t="inlineStr">
        <is>
          <t>86</t>
        </is>
      </c>
      <c r="CI23" s="95" t="inlineStr">
        <is>
          <t>0,13%</t>
        </is>
      </c>
      <c r="CJ23" s="96" t="inlineStr">
        <is>
          <t>249,74%</t>
        </is>
      </c>
      <c r="CK23" s="97" t="inlineStr">
        <is>
          <t>-0,28%</t>
        </is>
      </c>
      <c r="CL23" s="98" t="inlineStr">
        <is>
          <t>26</t>
        </is>
      </c>
      <c r="CM23" s="99" t="inlineStr">
        <is>
          <t>0,46%</t>
        </is>
      </c>
      <c r="CN23" s="100" t="inlineStr">
        <is>
          <t>88</t>
        </is>
      </c>
      <c r="CO23" s="101" t="inlineStr">
        <is>
          <t>-0,83%</t>
        </is>
      </c>
      <c r="CP23" s="102" t="inlineStr">
        <is>
          <t>34</t>
        </is>
      </c>
      <c r="CQ23" s="103" t="inlineStr">
        <is>
          <t>0,28%</t>
        </is>
      </c>
      <c r="CR23" s="104" t="inlineStr">
        <is>
          <t>91</t>
        </is>
      </c>
      <c r="CS23" s="105" t="inlineStr">
        <is>
          <t>0,26%</t>
        </is>
      </c>
      <c r="CT23" s="106" t="inlineStr">
        <is>
          <t>75</t>
        </is>
      </c>
      <c r="CU23" s="107" t="inlineStr">
        <is>
          <t>0,66%</t>
        </is>
      </c>
      <c r="CV23" s="108" t="inlineStr">
        <is>
          <t>94</t>
        </is>
      </c>
      <c r="CW23" s="109" t="inlineStr">
        <is>
          <t>4,39x</t>
        </is>
      </c>
      <c r="CX23" s="110" t="inlineStr">
        <is>
          <t>78</t>
        </is>
      </c>
      <c r="CY23" s="111" t="inlineStr">
        <is>
          <t>0,23x</t>
        </is>
      </c>
      <c r="CZ23" s="112" t="inlineStr">
        <is>
          <t>5,63%</t>
        </is>
      </c>
      <c r="DA23" s="113" t="inlineStr">
        <is>
          <t>11,08x</t>
        </is>
      </c>
      <c r="DB23" s="114" t="inlineStr">
        <is>
          <t>90</t>
        </is>
      </c>
      <c r="DC23" s="115" t="inlineStr">
        <is>
          <t>1,75x</t>
        </is>
      </c>
      <c r="DD23" s="116" t="inlineStr">
        <is>
          <t>59</t>
        </is>
      </c>
      <c r="DE23" s="117" t="inlineStr">
        <is>
          <t>0,47x</t>
        </is>
      </c>
      <c r="DF23" s="118" t="inlineStr">
        <is>
          <t>32</t>
        </is>
      </c>
      <c r="DG23" s="119" t="inlineStr">
        <is>
          <t>21,69x</t>
        </is>
      </c>
      <c r="DH23" s="120" t="inlineStr">
        <is>
          <t>94</t>
        </is>
      </c>
      <c r="DI23" s="121" t="inlineStr">
        <is>
          <t>1,31x</t>
        </is>
      </c>
      <c r="DJ23" s="122" t="inlineStr">
        <is>
          <t>55</t>
        </is>
      </c>
      <c r="DK23" s="123" t="inlineStr">
        <is>
          <t>2,19x</t>
        </is>
      </c>
      <c r="DL23" s="124" t="inlineStr">
        <is>
          <t>65</t>
        </is>
      </c>
      <c r="DM23" s="125" t="inlineStr">
        <is>
          <t>169</t>
        </is>
      </c>
      <c r="DN23" s="126" t="inlineStr">
        <is>
          <t>22</t>
        </is>
      </c>
      <c r="DO23" s="127" t="inlineStr">
        <is>
          <t>14,97%</t>
        </is>
      </c>
      <c r="DP23" s="128" t="inlineStr">
        <is>
          <t>1.037</t>
        </is>
      </c>
      <c r="DQ23" s="129" t="inlineStr">
        <is>
          <t>8</t>
        </is>
      </c>
      <c r="DR23" s="130" t="inlineStr">
        <is>
          <t>0,78%</t>
        </is>
      </c>
      <c r="DS23" s="131" t="inlineStr">
        <is>
          <t>759</t>
        </is>
      </c>
      <c r="DT23" s="132" t="inlineStr">
        <is>
          <t>29</t>
        </is>
      </c>
      <c r="DU23" s="133" t="inlineStr">
        <is>
          <t>3,97%</t>
        </is>
      </c>
      <c r="DV23" s="134" t="inlineStr">
        <is>
          <t>817</t>
        </is>
      </c>
      <c r="DW23" s="135" t="inlineStr">
        <is>
          <t>9</t>
        </is>
      </c>
      <c r="DX23" s="136" t="inlineStr">
        <is>
          <t>1,11%</t>
        </is>
      </c>
      <c r="DY23" s="137" t="inlineStr">
        <is>
          <t>PitchBook Research</t>
        </is>
      </c>
      <c r="DZ23" s="785">
        <f>HYPERLINK("https://my.pitchbook.com?c=53965-36", "View company online")</f>
      </c>
    </row>
    <row r="24">
      <c r="A24" s="139" t="inlineStr">
        <is>
          <t>55678-60</t>
        </is>
      </c>
      <c r="B24" s="140" t="inlineStr">
        <is>
          <t>Trustpilot</t>
        </is>
      </c>
      <c r="C24" s="141" t="inlineStr">
        <is>
          <t/>
        </is>
      </c>
      <c r="D24" s="142" t="inlineStr">
        <is>
          <t/>
        </is>
      </c>
      <c r="E24" s="143" t="inlineStr">
        <is>
          <t>55678-60</t>
        </is>
      </c>
      <c r="F24" s="144" t="inlineStr">
        <is>
          <t>Developer of a SaaS independent online review platform designed to make the Internet economy more transparent. The company's online review platform helps businesses connect with customers by collecting reviews, automate a review collection process, gather and monitor customer feedback to resolve issues for unhappy customers and gain new insights to make more informed business decisions from trends and topics in customer feedback, enabling consumers and businesses to build greater two-way trust online.</t>
        </is>
      </c>
      <c r="G24" s="145" t="inlineStr">
        <is>
          <t>Business Products and Services (B2B)</t>
        </is>
      </c>
      <c r="H24" s="146" t="inlineStr">
        <is>
          <t>Commercial Services</t>
        </is>
      </c>
      <c r="I24" s="147" t="inlineStr">
        <is>
          <t>Media and Information Services (B2B)</t>
        </is>
      </c>
      <c r="J24" s="148" t="inlineStr">
        <is>
          <t>Media and Information Services (B2B)*; Social/Platform Software</t>
        </is>
      </c>
      <c r="K24" s="149" t="inlineStr">
        <is>
          <t>SaaS</t>
        </is>
      </c>
      <c r="L24" s="150" t="inlineStr">
        <is>
          <t>Venture Capital-Backed</t>
        </is>
      </c>
      <c r="M24" s="151" t="n">
        <v>121.36</v>
      </c>
      <c r="N24" s="152" t="inlineStr">
        <is>
          <t>Generating Revenue</t>
        </is>
      </c>
      <c r="O24" s="153" t="inlineStr">
        <is>
          <t>Privately Held (backing)</t>
        </is>
      </c>
      <c r="P24" s="154" t="inlineStr">
        <is>
          <t>Venture Capital</t>
        </is>
      </c>
      <c r="Q24" s="155" t="inlineStr">
        <is>
          <t>www.uk.trustpilot.com</t>
        </is>
      </c>
      <c r="R24" s="156" t="n">
        <v>550.0</v>
      </c>
      <c r="S24" s="157" t="inlineStr">
        <is>
          <t/>
        </is>
      </c>
      <c r="T24" s="158" t="inlineStr">
        <is>
          <t/>
        </is>
      </c>
      <c r="U24" s="159" t="n">
        <v>2007.0</v>
      </c>
      <c r="V24" s="160" t="inlineStr">
        <is>
          <t/>
        </is>
      </c>
      <c r="W24" s="161" t="inlineStr">
        <is>
          <t/>
        </is>
      </c>
      <c r="X24" s="162" t="inlineStr">
        <is>
          <t/>
        </is>
      </c>
      <c r="Y24" s="163" t="n">
        <v>42.5225</v>
      </c>
      <c r="Z24" s="164" t="inlineStr">
        <is>
          <t/>
        </is>
      </c>
      <c r="AA24" s="165" t="inlineStr">
        <is>
          <t/>
        </is>
      </c>
      <c r="AB24" s="166" t="inlineStr">
        <is>
          <t/>
        </is>
      </c>
      <c r="AC24" s="167" t="inlineStr">
        <is>
          <t/>
        </is>
      </c>
      <c r="AD24" s="168" t="inlineStr">
        <is>
          <t>FY 2017</t>
        </is>
      </c>
      <c r="AE24" s="169" t="inlineStr">
        <is>
          <t>89092-90P</t>
        </is>
      </c>
      <c r="AF24" s="170" t="inlineStr">
        <is>
          <t>Hanno Damm</t>
        </is>
      </c>
      <c r="AG24" s="171" t="inlineStr">
        <is>
          <t>Chief Financial Officer</t>
        </is>
      </c>
      <c r="AH24" s="172" t="inlineStr">
        <is>
          <t>hdamm@uk.trustpilot.com</t>
        </is>
      </c>
      <c r="AI24" s="173" t="inlineStr">
        <is>
          <t>+45 8987 1573</t>
        </is>
      </c>
      <c r="AJ24" s="174" t="inlineStr">
        <is>
          <t>Copenhagen, Denmark</t>
        </is>
      </c>
      <c r="AK24" s="175" t="inlineStr">
        <is>
          <t>Pilestræde 58</t>
        </is>
      </c>
      <c r="AL24" s="176" t="inlineStr">
        <is>
          <t>5th floor</t>
        </is>
      </c>
      <c r="AM24" s="177" t="inlineStr">
        <is>
          <t>Copenhagen</t>
        </is>
      </c>
      <c r="AN24" s="178" t="inlineStr">
        <is>
          <t/>
        </is>
      </c>
      <c r="AO24" s="179" t="inlineStr">
        <is>
          <t>1112</t>
        </is>
      </c>
      <c r="AP24" s="180" t="inlineStr">
        <is>
          <t>Denmark</t>
        </is>
      </c>
      <c r="AQ24" s="181" t="inlineStr">
        <is>
          <t>+45 8987 1573</t>
        </is>
      </c>
      <c r="AR24" s="182" t="inlineStr">
        <is>
          <t/>
        </is>
      </c>
      <c r="AS24" s="183" t="inlineStr">
        <is>
          <t>info@trustpilot.com</t>
        </is>
      </c>
      <c r="AT24" s="184" t="inlineStr">
        <is>
          <t>Europe</t>
        </is>
      </c>
      <c r="AU24" s="185" t="inlineStr">
        <is>
          <t>Northern Europe</t>
        </is>
      </c>
      <c r="AV24" s="186" t="inlineStr">
        <is>
          <t>The company received $20 million of debt financing from Silicon Valley Bank on September 28, 2017. The company plans to use the funds for continued technology and product innovation in data-driven customer insights, analytics and automation and growth in the US, Europe and Australia. Previously, the company raised GBP 5.5 million of venture funding from Draper Esprit (LON:GROW) on January 18, 2017.</t>
        </is>
      </c>
      <c r="AW24" s="187" t="inlineStr">
        <is>
          <t>Accelerace, Draper Esprit, Draper Fisher Jurvetson, Index Ventures (UK), Northzone Ventures, Pre-Seed Innovation, SEED Capital Denmark, Vækstfonden, Vitruvian Partners</t>
        </is>
      </c>
      <c r="AX24" s="188" t="n">
        <v>9.0</v>
      </c>
      <c r="AY24" s="189" t="inlineStr">
        <is>
          <t/>
        </is>
      </c>
      <c r="AZ24" s="190" t="inlineStr">
        <is>
          <t/>
        </is>
      </c>
      <c r="BA24" s="191" t="inlineStr">
        <is>
          <t/>
        </is>
      </c>
      <c r="BB24" s="192" t="inlineStr">
        <is>
          <t>Accelerace (www.accelerace.io), Draper Esprit (www.draperesprit.com), Draper Fisher Jurvetson (www.dfj.com), Index Ventures (UK) (www.indexventures.com), Northzone Ventures (www.northzone.com), Pre-Seed Innovation (www.preseedinnovation.dk), SEED Capital Denmark (www.seedcapital.dk), Vækstfonden (www.vf.dk), Vitruvian Partners (www.vitruvianpartners.com)</t>
        </is>
      </c>
      <c r="BC24" s="193" t="inlineStr">
        <is>
          <t/>
        </is>
      </c>
      <c r="BD24" s="194" t="inlineStr">
        <is>
          <t/>
        </is>
      </c>
      <c r="BE24" s="195" t="inlineStr">
        <is>
          <t>Gunderson Dettmer (Legal Advisor), KPMG (Auditor)</t>
        </is>
      </c>
      <c r="BF24" s="196" t="inlineStr">
        <is>
          <t>Gunderson Dettmer (Legal Advisor), Silicon Valley Bank (Debt Financing)</t>
        </is>
      </c>
      <c r="BG24" s="197" t="n">
        <v>40569.0</v>
      </c>
      <c r="BH24" s="198" t="n">
        <v>0.74</v>
      </c>
      <c r="BI24" s="199" t="inlineStr">
        <is>
          <t>Actual</t>
        </is>
      </c>
      <c r="BJ24" s="200" t="inlineStr">
        <is>
          <t/>
        </is>
      </c>
      <c r="BK24" s="201" t="inlineStr">
        <is>
          <t/>
        </is>
      </c>
      <c r="BL24" s="202" t="inlineStr">
        <is>
          <t>Early Stage VC</t>
        </is>
      </c>
      <c r="BM24" s="203" t="inlineStr">
        <is>
          <t/>
        </is>
      </c>
      <c r="BN24" s="204" t="inlineStr">
        <is>
          <t/>
        </is>
      </c>
      <c r="BO24" s="205" t="inlineStr">
        <is>
          <t>Venture Capital</t>
        </is>
      </c>
      <c r="BP24" s="206" t="inlineStr">
        <is>
          <t/>
        </is>
      </c>
      <c r="BQ24" s="207" t="inlineStr">
        <is>
          <t/>
        </is>
      </c>
      <c r="BR24" s="208" t="inlineStr">
        <is>
          <t/>
        </is>
      </c>
      <c r="BS24" s="209" t="inlineStr">
        <is>
          <t>Completed</t>
        </is>
      </c>
      <c r="BT24" s="210" t="n">
        <v>43006.0</v>
      </c>
      <c r="BU24" s="211" t="n">
        <v>16.78</v>
      </c>
      <c r="BV24" s="212" t="inlineStr">
        <is>
          <t>Actual</t>
        </is>
      </c>
      <c r="BW24" s="213" t="inlineStr">
        <is>
          <t/>
        </is>
      </c>
      <c r="BX24" s="214" t="inlineStr">
        <is>
          <t/>
        </is>
      </c>
      <c r="BY24" s="215" t="inlineStr">
        <is>
          <t>Debt - General</t>
        </is>
      </c>
      <c r="BZ24" s="216" t="inlineStr">
        <is>
          <t/>
        </is>
      </c>
      <c r="CA24" s="217" t="inlineStr">
        <is>
          <t/>
        </is>
      </c>
      <c r="CB24" s="218" t="inlineStr">
        <is>
          <t>Debt</t>
        </is>
      </c>
      <c r="CC24" s="219" t="inlineStr">
        <is>
          <t>Other Debt</t>
        </is>
      </c>
      <c r="CD24" s="220" t="inlineStr">
        <is>
          <t/>
        </is>
      </c>
      <c r="CE24" s="221" t="inlineStr">
        <is>
          <t/>
        </is>
      </c>
      <c r="CF24" s="222" t="inlineStr">
        <is>
          <t>Completed</t>
        </is>
      </c>
      <c r="CG24" s="223" t="inlineStr">
        <is>
          <t>-8,93%</t>
        </is>
      </c>
      <c r="CH24" s="224" t="inlineStr">
        <is>
          <t>1</t>
        </is>
      </c>
      <c r="CI24" s="225" t="inlineStr">
        <is>
          <t>0,00%</t>
        </is>
      </c>
      <c r="CJ24" s="226" t="inlineStr">
        <is>
          <t>0,01%</t>
        </is>
      </c>
      <c r="CK24" s="227" t="inlineStr">
        <is>
          <t>-27,13%</t>
        </is>
      </c>
      <c r="CL24" s="228" t="inlineStr">
        <is>
          <t>1</t>
        </is>
      </c>
      <c r="CM24" s="229" t="inlineStr">
        <is>
          <t>0,25%</t>
        </is>
      </c>
      <c r="CN24" s="230" t="inlineStr">
        <is>
          <t>76</t>
        </is>
      </c>
      <c r="CO24" s="231" t="inlineStr">
        <is>
          <t>-27,13%</t>
        </is>
      </c>
      <c r="CP24" s="232" t="inlineStr">
        <is>
          <t>2</t>
        </is>
      </c>
      <c r="CQ24" s="233" t="inlineStr">
        <is>
          <t/>
        </is>
      </c>
      <c r="CR24" s="234" t="inlineStr">
        <is>
          <t/>
        </is>
      </c>
      <c r="CS24" s="235" t="inlineStr">
        <is>
          <t>0,66%</t>
        </is>
      </c>
      <c r="CT24" s="236" t="inlineStr">
        <is>
          <t>90</t>
        </is>
      </c>
      <c r="CU24" s="237" t="inlineStr">
        <is>
          <t>-0,15%</t>
        </is>
      </c>
      <c r="CV24" s="238" t="inlineStr">
        <is>
          <t>5</t>
        </is>
      </c>
      <c r="CW24" s="239" t="inlineStr">
        <is>
          <t>61,16x</t>
        </is>
      </c>
      <c r="CX24" s="240" t="inlineStr">
        <is>
          <t>97</t>
        </is>
      </c>
      <c r="CY24" s="241" t="inlineStr">
        <is>
          <t>-0,06x</t>
        </is>
      </c>
      <c r="CZ24" s="242" t="inlineStr">
        <is>
          <t>-0,10%</t>
        </is>
      </c>
      <c r="DA24" s="243" t="inlineStr">
        <is>
          <t>149,54x</t>
        </is>
      </c>
      <c r="DB24" s="244" t="inlineStr">
        <is>
          <t>99</t>
        </is>
      </c>
      <c r="DC24" s="245" t="inlineStr">
        <is>
          <t>31,99x</t>
        </is>
      </c>
      <c r="DD24" s="246" t="inlineStr">
        <is>
          <t>92</t>
        </is>
      </c>
      <c r="DE24" s="247" t="inlineStr">
        <is>
          <t>149,54x</t>
        </is>
      </c>
      <c r="DF24" s="248" t="inlineStr">
        <is>
          <t>99</t>
        </is>
      </c>
      <c r="DG24" s="249" t="inlineStr">
        <is>
          <t/>
        </is>
      </c>
      <c r="DH24" s="250" t="inlineStr">
        <is>
          <t/>
        </is>
      </c>
      <c r="DI24" s="251" t="inlineStr">
        <is>
          <t>27,38x</t>
        </is>
      </c>
      <c r="DJ24" s="252" t="inlineStr">
        <is>
          <t>89</t>
        </is>
      </c>
      <c r="DK24" s="253" t="inlineStr">
        <is>
          <t>36,61x</t>
        </is>
      </c>
      <c r="DL24" s="254" t="inlineStr">
        <is>
          <t>95</t>
        </is>
      </c>
      <c r="DM24" s="255" t="inlineStr">
        <is>
          <t>55.768</t>
        </is>
      </c>
      <c r="DN24" s="256" t="inlineStr">
        <is>
          <t>-1.440</t>
        </is>
      </c>
      <c r="DO24" s="257" t="inlineStr">
        <is>
          <t>-2,52%</t>
        </is>
      </c>
      <c r="DP24" s="258" t="inlineStr">
        <is>
          <t>21.618</t>
        </is>
      </c>
      <c r="DQ24" s="259" t="inlineStr">
        <is>
          <t>147</t>
        </is>
      </c>
      <c r="DR24" s="260" t="inlineStr">
        <is>
          <t>0,68%</t>
        </is>
      </c>
      <c r="DS24" s="261" t="inlineStr">
        <is>
          <t/>
        </is>
      </c>
      <c r="DT24" s="262" t="inlineStr">
        <is>
          <t/>
        </is>
      </c>
      <c r="DU24" s="263" t="inlineStr">
        <is>
          <t/>
        </is>
      </c>
      <c r="DV24" s="264" t="inlineStr">
        <is>
          <t>13.687</t>
        </is>
      </c>
      <c r="DW24" s="265" t="inlineStr">
        <is>
          <t>29</t>
        </is>
      </c>
      <c r="DX24" s="266" t="inlineStr">
        <is>
          <t>0,21%</t>
        </is>
      </c>
      <c r="DY24" s="267" t="inlineStr">
        <is>
          <t>PitchBook Research</t>
        </is>
      </c>
      <c r="DZ24" s="786">
        <f>HYPERLINK("https://my.pitchbook.com?c=55678-60", "View company online")</f>
      </c>
    </row>
    <row r="25">
      <c r="A25" s="9" t="inlineStr">
        <is>
          <t>55208-17</t>
        </is>
      </c>
      <c r="B25" s="10" t="inlineStr">
        <is>
          <t>Vestiaire Collective</t>
        </is>
      </c>
      <c r="C25" s="11" t="inlineStr">
        <is>
          <t/>
        </is>
      </c>
      <c r="D25" s="12" t="inlineStr">
        <is>
          <t>Vestiaire de Copines</t>
        </is>
      </c>
      <c r="E25" s="13" t="inlineStr">
        <is>
          <t>55208-17</t>
        </is>
      </c>
      <c r="F25" s="14" t="inlineStr">
        <is>
          <t>Operator of an e-commerce platform designed for the resale of luxury clothing and accessories. The company's platform offers curated, verified and also ships pre-owned clothing and accessories, acting as an intermediary between buyers and sellers.</t>
        </is>
      </c>
      <c r="G25" s="15" t="inlineStr">
        <is>
          <t>Consumer Products and Services (B2C)</t>
        </is>
      </c>
      <c r="H25" s="16" t="inlineStr">
        <is>
          <t>Retail</t>
        </is>
      </c>
      <c r="I25" s="17" t="inlineStr">
        <is>
          <t>Internet Retail</t>
        </is>
      </c>
      <c r="J25" s="18" t="inlineStr">
        <is>
          <t>Internet Retail*; Accessories; Clothing; Catalog Retail; Social/Platform Software</t>
        </is>
      </c>
      <c r="K25" s="19" t="inlineStr">
        <is>
          <t>E-Commerce, Mobile</t>
        </is>
      </c>
      <c r="L25" s="20" t="inlineStr">
        <is>
          <t>Venture Capital-Backed</t>
        </is>
      </c>
      <c r="M25" s="21" t="n">
        <v>119.75</v>
      </c>
      <c r="N25" s="22" t="inlineStr">
        <is>
          <t>Generating Revenue</t>
        </is>
      </c>
      <c r="O25" s="23" t="inlineStr">
        <is>
          <t>Privately Held (backing)</t>
        </is>
      </c>
      <c r="P25" s="24" t="inlineStr">
        <is>
          <t>Venture Capital</t>
        </is>
      </c>
      <c r="Q25" s="25" t="inlineStr">
        <is>
          <t>www.vestiairecollective.com</t>
        </is>
      </c>
      <c r="R25" s="26" t="n">
        <v>180.0</v>
      </c>
      <c r="S25" s="27" t="inlineStr">
        <is>
          <t/>
        </is>
      </c>
      <c r="T25" s="28" t="inlineStr">
        <is>
          <t/>
        </is>
      </c>
      <c r="U25" s="29" t="n">
        <v>2009.0</v>
      </c>
      <c r="V25" s="30" t="inlineStr">
        <is>
          <t/>
        </is>
      </c>
      <c r="W25" s="31" t="inlineStr">
        <is>
          <t/>
        </is>
      </c>
      <c r="X25" s="32" t="inlineStr">
        <is>
          <t/>
        </is>
      </c>
      <c r="Y25" s="33" t="n">
        <v>13.20652</v>
      </c>
      <c r="Z25" s="34" t="n">
        <v>0.0</v>
      </c>
      <c r="AA25" s="35" t="inlineStr">
        <is>
          <t/>
        </is>
      </c>
      <c r="AB25" s="36" t="inlineStr">
        <is>
          <t/>
        </is>
      </c>
      <c r="AC25" s="37" t="n">
        <v>-8.25509</v>
      </c>
      <c r="AD25" s="38" t="inlineStr">
        <is>
          <t>FY 2014</t>
        </is>
      </c>
      <c r="AE25" s="39" t="inlineStr">
        <is>
          <t>53309-53P</t>
        </is>
      </c>
      <c r="AF25" s="40" t="inlineStr">
        <is>
          <t>Franck Boniface</t>
        </is>
      </c>
      <c r="AG25" s="41" t="inlineStr">
        <is>
          <t>Executive Vice President, Finance &amp; Human Resources</t>
        </is>
      </c>
      <c r="AH25" s="42" t="inlineStr">
        <is>
          <t>franck@vestiairecollective.com</t>
        </is>
      </c>
      <c r="AI25" s="43" t="inlineStr">
        <is>
          <t>+33 (0)8 11 03 20 18</t>
        </is>
      </c>
      <c r="AJ25" s="44" t="inlineStr">
        <is>
          <t>Paris, France</t>
        </is>
      </c>
      <c r="AK25" s="45" t="inlineStr">
        <is>
          <t>33 bld du General Martial Valin</t>
        </is>
      </c>
      <c r="AL25" s="46" t="inlineStr">
        <is>
          <t/>
        </is>
      </c>
      <c r="AM25" s="47" t="inlineStr">
        <is>
          <t>Paris</t>
        </is>
      </c>
      <c r="AN25" s="48" t="inlineStr">
        <is>
          <t/>
        </is>
      </c>
      <c r="AO25" s="49" t="inlineStr">
        <is>
          <t>75015</t>
        </is>
      </c>
      <c r="AP25" s="50" t="inlineStr">
        <is>
          <t>France</t>
        </is>
      </c>
      <c r="AQ25" s="51" t="inlineStr">
        <is>
          <t>+33 (0)8 11 03 20 18</t>
        </is>
      </c>
      <c r="AR25" s="52" t="inlineStr">
        <is>
          <t/>
        </is>
      </c>
      <c r="AS25" s="53" t="inlineStr">
        <is>
          <t/>
        </is>
      </c>
      <c r="AT25" s="54" t="inlineStr">
        <is>
          <t>Europe</t>
        </is>
      </c>
      <c r="AU25" s="55" t="inlineStr">
        <is>
          <t>Western Europe</t>
        </is>
      </c>
      <c r="AV25" s="56" t="inlineStr">
        <is>
          <t>The company raised EUR 58 million of venture funding in a deal led by Vitruvian Partners on January 24, 2017. IDInvest Partners and Eurazeo also participated in the round. The funds will be used to further increase growth and develop its presence in the United States and allow for expansion into new markets including Asia Pacific through 2017.</t>
        </is>
      </c>
      <c r="AW25" s="57" t="inlineStr">
        <is>
          <t>Advance Venture Partners, Balderton Capital, Condé Nast, Eurazeo, IdInvest Partners, James Bilefield, Ventech, Vitruvian Partners, Zadig &amp; Voltaire</t>
        </is>
      </c>
      <c r="AX25" s="58" t="n">
        <v>9.0</v>
      </c>
      <c r="AY25" s="59" t="inlineStr">
        <is>
          <t/>
        </is>
      </c>
      <c r="AZ25" s="60" t="inlineStr">
        <is>
          <t/>
        </is>
      </c>
      <c r="BA25" s="61" t="inlineStr">
        <is>
          <t/>
        </is>
      </c>
      <c r="BB25" s="62" t="inlineStr">
        <is>
          <t>Advance Venture Partners (www.avpgrowth.com), Balderton Capital (www.balderton.com), Condé Nast (www.condenast.com), Eurazeo (www.eurazeo.com), IdInvest Partners (www.idinvest.com), Ventech (www.ventechvc.com), Vitruvian Partners (www.vitruvianpartners.com), Zadig &amp; Voltaire (www.zadig-et-voltaire.com)</t>
        </is>
      </c>
      <c r="BC25" s="63" t="inlineStr">
        <is>
          <t/>
        </is>
      </c>
      <c r="BD25" s="64" t="inlineStr">
        <is>
          <t/>
        </is>
      </c>
      <c r="BE25" s="65" t="inlineStr">
        <is>
          <t>Gunderson Dettmer (Legal Advisor)</t>
        </is>
      </c>
      <c r="BF25" s="66" t="inlineStr">
        <is>
          <t>Gunderson Dettmer (Legal Advisor), Clipperton Finance (Advisor: General)</t>
        </is>
      </c>
      <c r="BG25" s="67" t="n">
        <v>40352.0</v>
      </c>
      <c r="BH25" s="68" t="n">
        <v>1.5</v>
      </c>
      <c r="BI25" s="69" t="inlineStr">
        <is>
          <t>Actual</t>
        </is>
      </c>
      <c r="BJ25" s="70" t="n">
        <v>5.0</v>
      </c>
      <c r="BK25" s="71" t="inlineStr">
        <is>
          <t>Actual</t>
        </is>
      </c>
      <c r="BL25" s="72" t="inlineStr">
        <is>
          <t>Early Stage VC</t>
        </is>
      </c>
      <c r="BM25" s="73" t="inlineStr">
        <is>
          <t>Series A</t>
        </is>
      </c>
      <c r="BN25" s="74" t="inlineStr">
        <is>
          <t/>
        </is>
      </c>
      <c r="BO25" s="75" t="inlineStr">
        <is>
          <t>Venture Capital</t>
        </is>
      </c>
      <c r="BP25" s="76" t="inlineStr">
        <is>
          <t/>
        </is>
      </c>
      <c r="BQ25" s="77" t="inlineStr">
        <is>
          <t/>
        </is>
      </c>
      <c r="BR25" s="78" t="inlineStr">
        <is>
          <t/>
        </is>
      </c>
      <c r="BS25" s="79" t="inlineStr">
        <is>
          <t>Completed</t>
        </is>
      </c>
      <c r="BT25" s="80" t="n">
        <v>42759.0</v>
      </c>
      <c r="BU25" s="81" t="n">
        <v>58.0</v>
      </c>
      <c r="BV25" s="82" t="inlineStr">
        <is>
          <t>Actual</t>
        </is>
      </c>
      <c r="BW25" s="83" t="inlineStr">
        <is>
          <t/>
        </is>
      </c>
      <c r="BX25" s="84" t="inlineStr">
        <is>
          <t/>
        </is>
      </c>
      <c r="BY25" s="85" t="inlineStr">
        <is>
          <t>Later Stage VC</t>
        </is>
      </c>
      <c r="BZ25" s="86" t="inlineStr">
        <is>
          <t/>
        </is>
      </c>
      <c r="CA25" s="87" t="inlineStr">
        <is>
          <t/>
        </is>
      </c>
      <c r="CB25" s="88" t="inlineStr">
        <is>
          <t>Venture Capital</t>
        </is>
      </c>
      <c r="CC25" s="89" t="inlineStr">
        <is>
          <t/>
        </is>
      </c>
      <c r="CD25" s="90" t="inlineStr">
        <is>
          <t/>
        </is>
      </c>
      <c r="CE25" s="91" t="inlineStr">
        <is>
          <t/>
        </is>
      </c>
      <c r="CF25" s="92" t="inlineStr">
        <is>
          <t>Completed</t>
        </is>
      </c>
      <c r="CG25" s="93" t="inlineStr">
        <is>
          <t>0,83%</t>
        </is>
      </c>
      <c r="CH25" s="94" t="inlineStr">
        <is>
          <t>94</t>
        </is>
      </c>
      <c r="CI25" s="95" t="inlineStr">
        <is>
          <t>0,10%</t>
        </is>
      </c>
      <c r="CJ25" s="96" t="inlineStr">
        <is>
          <t>13,41%</t>
        </is>
      </c>
      <c r="CK25" s="97" t="inlineStr">
        <is>
          <t>-7,81%</t>
        </is>
      </c>
      <c r="CL25" s="98" t="inlineStr">
        <is>
          <t>5</t>
        </is>
      </c>
      <c r="CM25" s="99" t="inlineStr">
        <is>
          <t>0,09%</t>
        </is>
      </c>
      <c r="CN25" s="100" t="inlineStr">
        <is>
          <t>57</t>
        </is>
      </c>
      <c r="CO25" s="101" t="inlineStr">
        <is>
          <t>-8,56%</t>
        </is>
      </c>
      <c r="CP25" s="102" t="inlineStr">
        <is>
          <t>15</t>
        </is>
      </c>
      <c r="CQ25" s="103" t="inlineStr">
        <is>
          <t>-7,06%</t>
        </is>
      </c>
      <c r="CR25" s="104" t="inlineStr">
        <is>
          <t>1</t>
        </is>
      </c>
      <c r="CS25" s="105" t="inlineStr">
        <is>
          <t>0,17%</t>
        </is>
      </c>
      <c r="CT25" s="106" t="inlineStr">
        <is>
          <t>66</t>
        </is>
      </c>
      <c r="CU25" s="107" t="inlineStr">
        <is>
          <t>0,00%</t>
        </is>
      </c>
      <c r="CV25" s="108" t="inlineStr">
        <is>
          <t>21</t>
        </is>
      </c>
      <c r="CW25" s="109" t="inlineStr">
        <is>
          <t>261,92x</t>
        </is>
      </c>
      <c r="CX25" s="110" t="inlineStr">
        <is>
          <t>99</t>
        </is>
      </c>
      <c r="CY25" s="111" t="inlineStr">
        <is>
          <t>-2,60x</t>
        </is>
      </c>
      <c r="CZ25" s="112" t="inlineStr">
        <is>
          <t>-0,98%</t>
        </is>
      </c>
      <c r="DA25" s="113" t="inlineStr">
        <is>
          <t>215,32x</t>
        </is>
      </c>
      <c r="DB25" s="114" t="inlineStr">
        <is>
          <t>100</t>
        </is>
      </c>
      <c r="DC25" s="115" t="inlineStr">
        <is>
          <t>560,04x</t>
        </is>
      </c>
      <c r="DD25" s="116" t="inlineStr">
        <is>
          <t>99</t>
        </is>
      </c>
      <c r="DE25" s="117" t="inlineStr">
        <is>
          <t>341,00x</t>
        </is>
      </c>
      <c r="DF25" s="118" t="inlineStr">
        <is>
          <t>99</t>
        </is>
      </c>
      <c r="DG25" s="119" t="inlineStr">
        <is>
          <t>89,64x</t>
        </is>
      </c>
      <c r="DH25" s="120" t="inlineStr">
        <is>
          <t>99</t>
        </is>
      </c>
      <c r="DI25" s="121" t="inlineStr">
        <is>
          <t>1.099,90x</t>
        </is>
      </c>
      <c r="DJ25" s="122" t="inlineStr">
        <is>
          <t>100</t>
        </is>
      </c>
      <c r="DK25" s="123" t="inlineStr">
        <is>
          <t>20,17x</t>
        </is>
      </c>
      <c r="DL25" s="124" t="inlineStr">
        <is>
          <t>92</t>
        </is>
      </c>
      <c r="DM25" s="125" t="inlineStr">
        <is>
          <t>126.405</t>
        </is>
      </c>
      <c r="DN25" s="126" t="inlineStr">
        <is>
          <t>525</t>
        </is>
      </c>
      <c r="DO25" s="127" t="inlineStr">
        <is>
          <t>0,42%</t>
        </is>
      </c>
      <c r="DP25" s="128" t="inlineStr">
        <is>
          <t>871.085</t>
        </is>
      </c>
      <c r="DQ25" s="129" t="inlineStr">
        <is>
          <t>306</t>
        </is>
      </c>
      <c r="DR25" s="130" t="inlineStr">
        <is>
          <t>0,04%</t>
        </is>
      </c>
      <c r="DS25" s="131" t="inlineStr">
        <is>
          <t>3.374</t>
        </is>
      </c>
      <c r="DT25" s="132" t="inlineStr">
        <is>
          <t>-342</t>
        </is>
      </c>
      <c r="DU25" s="133" t="inlineStr">
        <is>
          <t>-9,20%</t>
        </is>
      </c>
      <c r="DV25" s="134" t="inlineStr">
        <is>
          <t>7.546</t>
        </is>
      </c>
      <c r="DW25" s="135" t="inlineStr">
        <is>
          <t>-4</t>
        </is>
      </c>
      <c r="DX25" s="136" t="inlineStr">
        <is>
          <t>-0,05%</t>
        </is>
      </c>
      <c r="DY25" s="137" t="inlineStr">
        <is>
          <t>PitchBook Research</t>
        </is>
      </c>
      <c r="DZ25" s="785">
        <f>HYPERLINK("https://my.pitchbook.com?c=55208-17", "View company online")</f>
      </c>
    </row>
    <row r="26">
      <c r="A26" s="139" t="inlineStr">
        <is>
          <t>55381-51</t>
        </is>
      </c>
      <c r="B26" s="140" t="inlineStr">
        <is>
          <t>Actility</t>
        </is>
      </c>
      <c r="C26" s="141" t="inlineStr">
        <is>
          <t/>
        </is>
      </c>
      <c r="D26" s="142" t="inlineStr">
        <is>
          <t/>
        </is>
      </c>
      <c r="E26" s="143" t="inlineStr">
        <is>
          <t>55381-51</t>
        </is>
      </c>
      <c r="F26" s="144" t="inlineStr">
        <is>
          <t>Provider of network services and information systems designed for the Internet of Things market. The company's network services and information systems implement a set of applications designed to optimize the management of electricity demand in the grid to reduce peak demand, reduce the amount of CO2 emitted by kilowatt-hour and limiting new investments necessary instrumentation of buildings to meet the standards as well as offers core infrastructure components and software, enabling mass scale deployment of internet applications.</t>
        </is>
      </c>
      <c r="G26" s="145" t="inlineStr">
        <is>
          <t>Business Products and Services (B2B)</t>
        </is>
      </c>
      <c r="H26" s="146" t="inlineStr">
        <is>
          <t>Commercial Services</t>
        </is>
      </c>
      <c r="I26" s="147" t="inlineStr">
        <is>
          <t>Other Commercial Services</t>
        </is>
      </c>
      <c r="J26" s="148" t="inlineStr">
        <is>
          <t>Other Commercial Services*; Other Communications and Networking; Application Software</t>
        </is>
      </c>
      <c r="K26" s="149" t="inlineStr">
        <is>
          <t>Internet of Things</t>
        </is>
      </c>
      <c r="L26" s="150" t="inlineStr">
        <is>
          <t>Venture Capital-Backed</t>
        </is>
      </c>
      <c r="M26" s="151" t="n">
        <v>104.85</v>
      </c>
      <c r="N26" s="152" t="inlineStr">
        <is>
          <t>Generating Revenue</t>
        </is>
      </c>
      <c r="O26" s="153" t="inlineStr">
        <is>
          <t>Privately Held (backing)</t>
        </is>
      </c>
      <c r="P26" s="154" t="inlineStr">
        <is>
          <t>Venture Capital</t>
        </is>
      </c>
      <c r="Q26" s="155" t="inlineStr">
        <is>
          <t>www.actility.com</t>
        </is>
      </c>
      <c r="R26" s="156" t="n">
        <v>41.0</v>
      </c>
      <c r="S26" s="157" t="inlineStr">
        <is>
          <t/>
        </is>
      </c>
      <c r="T26" s="158" t="inlineStr">
        <is>
          <t/>
        </is>
      </c>
      <c r="U26" s="159" t="n">
        <v>2010.0</v>
      </c>
      <c r="V26" s="160" t="inlineStr">
        <is>
          <t/>
        </is>
      </c>
      <c r="W26" s="161" t="inlineStr">
        <is>
          <t/>
        </is>
      </c>
      <c r="X26" s="162" t="inlineStr">
        <is>
          <t/>
        </is>
      </c>
      <c r="Y26" s="163" t="n">
        <v>5.80637</v>
      </c>
      <c r="Z26" s="164" t="n">
        <v>0.0</v>
      </c>
      <c r="AA26" s="165" t="inlineStr">
        <is>
          <t/>
        </is>
      </c>
      <c r="AB26" s="166" t="inlineStr">
        <is>
          <t/>
        </is>
      </c>
      <c r="AC26" s="167" t="n">
        <v>-5.99931</v>
      </c>
      <c r="AD26" s="168" t="inlineStr">
        <is>
          <t>FY 2015</t>
        </is>
      </c>
      <c r="AE26" s="169" t="inlineStr">
        <is>
          <t>48423-79P</t>
        </is>
      </c>
      <c r="AF26" s="170" t="inlineStr">
        <is>
          <t>Olivier Hersent</t>
        </is>
      </c>
      <c r="AG26" s="171" t="inlineStr">
        <is>
          <t>Co-Founder, Chairman &amp; Chief Technology Officer</t>
        </is>
      </c>
      <c r="AH26" s="172" t="inlineStr">
        <is>
          <t>olivier.hersent@actility.com</t>
        </is>
      </c>
      <c r="AI26" s="173" t="inlineStr">
        <is>
          <t>+33 (0)1 83 64 65 41</t>
        </is>
      </c>
      <c r="AJ26" s="174" t="inlineStr">
        <is>
          <t>Paris, France</t>
        </is>
      </c>
      <c r="AK26" s="175" t="inlineStr">
        <is>
          <t>65-67 rue de la Victoire</t>
        </is>
      </c>
      <c r="AL26" s="176" t="inlineStr">
        <is>
          <t/>
        </is>
      </c>
      <c r="AM26" s="177" t="inlineStr">
        <is>
          <t>Paris</t>
        </is>
      </c>
      <c r="AN26" s="178" t="inlineStr">
        <is>
          <t/>
        </is>
      </c>
      <c r="AO26" s="179" t="inlineStr">
        <is>
          <t>75009</t>
        </is>
      </c>
      <c r="AP26" s="180" t="inlineStr">
        <is>
          <t>France</t>
        </is>
      </c>
      <c r="AQ26" s="181" t="inlineStr">
        <is>
          <t>+33 (0)1 83 64 65 41</t>
        </is>
      </c>
      <c r="AR26" s="182" t="inlineStr">
        <is>
          <t/>
        </is>
      </c>
      <c r="AS26" s="183" t="inlineStr">
        <is>
          <t>contact@actility.com</t>
        </is>
      </c>
      <c r="AT26" s="184" t="inlineStr">
        <is>
          <t>Europe</t>
        </is>
      </c>
      <c r="AU26" s="185" t="inlineStr">
        <is>
          <t>Western Europe</t>
        </is>
      </c>
      <c r="AV26" s="186" t="inlineStr">
        <is>
          <t>The company raised $75 million of Series D venture funding from Swisscom, Foxconn Technology and Orange Digital Ventures on April 12, 2017. Cisco Investments, BNP Paribas, Robert Bosch Venture Capital, Creadev, Bpifrance, Ginko Ventures, KPN Ventures, IDInvest Partners, Truffle Capital and Inmarsat also participated in this round. The company will use the funds to enhance its portfolio of industrial IoT solutions across different verticals, accelerate in the US and boost its position in China.</t>
        </is>
      </c>
      <c r="AW26" s="187" t="inlineStr">
        <is>
          <t>BNP Paribas, Bpifrance, CDC Enterprises, Cisco Investments, Creadev, Foxconn Technology Group, Ginko Ventures, IdInvest Partners, Inmarsat, KPN Ventures, Orange Digital Ventures, Paris&amp;Co Incubateurs, Robert Bosch Venture Capital, Swisscom, Swisscom Ventures, Truffle Capital</t>
        </is>
      </c>
      <c r="AX26" s="188" t="n">
        <v>16.0</v>
      </c>
      <c r="AY26" s="189" t="inlineStr">
        <is>
          <t/>
        </is>
      </c>
      <c r="AZ26" s="190" t="inlineStr">
        <is>
          <t/>
        </is>
      </c>
      <c r="BA26" s="191" t="inlineStr">
        <is>
          <t/>
        </is>
      </c>
      <c r="BB26" s="192" t="inlineStr">
        <is>
          <t>BNP Paribas (www.group.bnpparibas), Bpifrance (www.bpifrance.fr), CDC Enterprises (www.cdcentreprises.fr), Cisco Investments (www.ciscoinvestments.com), Creadev (www.creadev.fr), Foxconn Technology Group (www.foxconn.com), Ginko Ventures (www.ginkopartners.com), IdInvest Partners (www.idinvest.com), Inmarsat (www.inmarsat.com), KPN Ventures (www.kpnventures.com), Orange Digital Ventures (www.digitalventures.orange.com), Paris&amp;Co Incubateurs (www.incubateurs.parisandco.com), Robert Bosch Venture Capital (www.rbvc.com), Swisscom (www.swisscom.ch), Truffle Capital (www.truffle.com)</t>
        </is>
      </c>
      <c r="BC26" s="193" t="inlineStr">
        <is>
          <t/>
        </is>
      </c>
      <c r="BD26" s="194" t="inlineStr">
        <is>
          <t/>
        </is>
      </c>
      <c r="BE26" s="195" t="inlineStr">
        <is>
          <t>Goodwin (Legal Advisor)</t>
        </is>
      </c>
      <c r="BF26" s="196" t="inlineStr">
        <is>
          <t>Pinot de Villechenon &amp; Associés (Legal Advisor), Goodwin (Legal Advisor)</t>
        </is>
      </c>
      <c r="BG26" s="197" t="n">
        <v>40476.0</v>
      </c>
      <c r="BH26" s="198" t="n">
        <v>3.0</v>
      </c>
      <c r="BI26" s="199" t="inlineStr">
        <is>
          <t>Actual</t>
        </is>
      </c>
      <c r="BJ26" s="200" t="inlineStr">
        <is>
          <t/>
        </is>
      </c>
      <c r="BK26" s="201" t="inlineStr">
        <is>
          <t/>
        </is>
      </c>
      <c r="BL26" s="202" t="inlineStr">
        <is>
          <t>Early Stage VC</t>
        </is>
      </c>
      <c r="BM26" s="203" t="inlineStr">
        <is>
          <t/>
        </is>
      </c>
      <c r="BN26" s="204" t="inlineStr">
        <is>
          <t/>
        </is>
      </c>
      <c r="BO26" s="205" t="inlineStr">
        <is>
          <t>Venture Capital</t>
        </is>
      </c>
      <c r="BP26" s="206" t="inlineStr">
        <is>
          <t/>
        </is>
      </c>
      <c r="BQ26" s="207" t="inlineStr">
        <is>
          <t/>
        </is>
      </c>
      <c r="BR26" s="208" t="inlineStr">
        <is>
          <t/>
        </is>
      </c>
      <c r="BS26" s="209" t="inlineStr">
        <is>
          <t>Completed</t>
        </is>
      </c>
      <c r="BT26" s="210" t="n">
        <v>42837.0</v>
      </c>
      <c r="BU26" s="211" t="n">
        <v>70.1</v>
      </c>
      <c r="BV26" s="212" t="inlineStr">
        <is>
          <t>Actual</t>
        </is>
      </c>
      <c r="BW26" s="213" t="inlineStr">
        <is>
          <t/>
        </is>
      </c>
      <c r="BX26" s="214" t="inlineStr">
        <is>
          <t/>
        </is>
      </c>
      <c r="BY26" s="215" t="inlineStr">
        <is>
          <t>Later Stage VC</t>
        </is>
      </c>
      <c r="BZ26" s="216" t="inlineStr">
        <is>
          <t>Series D</t>
        </is>
      </c>
      <c r="CA26" s="217" t="inlineStr">
        <is>
          <t/>
        </is>
      </c>
      <c r="CB26" s="218" t="inlineStr">
        <is>
          <t>Venture Capital</t>
        </is>
      </c>
      <c r="CC26" s="219" t="inlineStr">
        <is>
          <t/>
        </is>
      </c>
      <c r="CD26" s="220" t="inlineStr">
        <is>
          <t/>
        </is>
      </c>
      <c r="CE26" s="221" t="inlineStr">
        <is>
          <t/>
        </is>
      </c>
      <c r="CF26" s="222" t="inlineStr">
        <is>
          <t>Completed</t>
        </is>
      </c>
      <c r="CG26" s="223" t="inlineStr">
        <is>
          <t>-4,19%</t>
        </is>
      </c>
      <c r="CH26" s="224" t="inlineStr">
        <is>
          <t>5</t>
        </is>
      </c>
      <c r="CI26" s="225" t="inlineStr">
        <is>
          <t>0,13%</t>
        </is>
      </c>
      <c r="CJ26" s="226" t="inlineStr">
        <is>
          <t>3,01%</t>
        </is>
      </c>
      <c r="CK26" s="227" t="inlineStr">
        <is>
          <t>-8,97%</t>
        </is>
      </c>
      <c r="CL26" s="228" t="inlineStr">
        <is>
          <t>4</t>
        </is>
      </c>
      <c r="CM26" s="229" t="inlineStr">
        <is>
          <t>0,59%</t>
        </is>
      </c>
      <c r="CN26" s="230" t="inlineStr">
        <is>
          <t>91</t>
        </is>
      </c>
      <c r="CO26" s="231" t="inlineStr">
        <is>
          <t>-16,50%</t>
        </is>
      </c>
      <c r="CP26" s="232" t="inlineStr">
        <is>
          <t>7</t>
        </is>
      </c>
      <c r="CQ26" s="233" t="inlineStr">
        <is>
          <t>-1,43%</t>
        </is>
      </c>
      <c r="CR26" s="234" t="inlineStr">
        <is>
          <t>6</t>
        </is>
      </c>
      <c r="CS26" s="235" t="inlineStr">
        <is>
          <t>0,56%</t>
        </is>
      </c>
      <c r="CT26" s="236" t="inlineStr">
        <is>
          <t>88</t>
        </is>
      </c>
      <c r="CU26" s="237" t="inlineStr">
        <is>
          <t>0,63%</t>
        </is>
      </c>
      <c r="CV26" s="238" t="inlineStr">
        <is>
          <t>93</t>
        </is>
      </c>
      <c r="CW26" s="239" t="inlineStr">
        <is>
          <t>6,12x</t>
        </is>
      </c>
      <c r="CX26" s="240" t="inlineStr">
        <is>
          <t>82</t>
        </is>
      </c>
      <c r="CY26" s="241" t="inlineStr">
        <is>
          <t>-0,06x</t>
        </is>
      </c>
      <c r="CZ26" s="242" t="inlineStr">
        <is>
          <t>-0,90%</t>
        </is>
      </c>
      <c r="DA26" s="243" t="inlineStr">
        <is>
          <t>8,44x</t>
        </is>
      </c>
      <c r="DB26" s="244" t="inlineStr">
        <is>
          <t>87</t>
        </is>
      </c>
      <c r="DC26" s="245" t="inlineStr">
        <is>
          <t>3,81x</t>
        </is>
      </c>
      <c r="DD26" s="246" t="inlineStr">
        <is>
          <t>72</t>
        </is>
      </c>
      <c r="DE26" s="247" t="inlineStr">
        <is>
          <t>1,55x</t>
        </is>
      </c>
      <c r="DF26" s="248" t="inlineStr">
        <is>
          <t>61</t>
        </is>
      </c>
      <c r="DG26" s="249" t="inlineStr">
        <is>
          <t>15,33x</t>
        </is>
      </c>
      <c r="DH26" s="250" t="inlineStr">
        <is>
          <t>91</t>
        </is>
      </c>
      <c r="DI26" s="251" t="inlineStr">
        <is>
          <t>0,38x</t>
        </is>
      </c>
      <c r="DJ26" s="252" t="inlineStr">
        <is>
          <t>34</t>
        </is>
      </c>
      <c r="DK26" s="253" t="inlineStr">
        <is>
          <t>7,24x</t>
        </is>
      </c>
      <c r="DL26" s="254" t="inlineStr">
        <is>
          <t>84</t>
        </is>
      </c>
      <c r="DM26" s="255" t="inlineStr">
        <is>
          <t>571</t>
        </is>
      </c>
      <c r="DN26" s="256" t="inlineStr">
        <is>
          <t>13</t>
        </is>
      </c>
      <c r="DO26" s="257" t="inlineStr">
        <is>
          <t>2,33%</t>
        </is>
      </c>
      <c r="DP26" s="258" t="inlineStr">
        <is>
          <t>297</t>
        </is>
      </c>
      <c r="DQ26" s="259" t="inlineStr">
        <is>
          <t>2</t>
        </is>
      </c>
      <c r="DR26" s="260" t="inlineStr">
        <is>
          <t>0,68%</t>
        </is>
      </c>
      <c r="DS26" s="261" t="inlineStr">
        <is>
          <t>554</t>
        </is>
      </c>
      <c r="DT26" s="262" t="inlineStr">
        <is>
          <t>-7</t>
        </is>
      </c>
      <c r="DU26" s="263" t="inlineStr">
        <is>
          <t>-1,25%</t>
        </is>
      </c>
      <c r="DV26" s="264" t="inlineStr">
        <is>
          <t>2.704</t>
        </is>
      </c>
      <c r="DW26" s="265" t="inlineStr">
        <is>
          <t>16</t>
        </is>
      </c>
      <c r="DX26" s="266" t="inlineStr">
        <is>
          <t>0,60%</t>
        </is>
      </c>
      <c r="DY26" s="267" t="inlineStr">
        <is>
          <t>PitchBook Research</t>
        </is>
      </c>
      <c r="DZ26" s="786">
        <f>HYPERLINK("https://my.pitchbook.com?c=55381-51", "View company online")</f>
      </c>
    </row>
    <row r="27">
      <c r="A27" s="9" t="inlineStr">
        <is>
          <t>166649-68</t>
        </is>
      </c>
      <c r="B27" s="10" t="inlineStr">
        <is>
          <t>Graphcore</t>
        </is>
      </c>
      <c r="C27" s="11" t="inlineStr">
        <is>
          <t/>
        </is>
      </c>
      <c r="D27" s="12" t="inlineStr">
        <is>
          <t/>
        </is>
      </c>
      <c r="E27" s="13" t="inlineStr">
        <is>
          <t>166649-68</t>
        </is>
      </c>
      <c r="F27" s="14" t="inlineStr">
        <is>
          <t>Developer of a new generation computer processor designed to accelerate machine intelligence learning. The company's new generation computer processor emphasizes massively parallel, low-precision floating-point computing and provides higher compute density than other solutions, and the C++ programming framework provides seamless interface to standard machine learning frameworks, with simple integration for existing applications written for Tensorflow, enabling researchers to explore machine intelligences across a much broader front than current solutions.</t>
        </is>
      </c>
      <c r="G27" s="15" t="inlineStr">
        <is>
          <t>Information Technology</t>
        </is>
      </c>
      <c r="H27" s="16" t="inlineStr">
        <is>
          <t>Computer Hardware</t>
        </is>
      </c>
      <c r="I27" s="17" t="inlineStr">
        <is>
          <t>Electronic Components</t>
        </is>
      </c>
      <c r="J27" s="18" t="inlineStr">
        <is>
          <t>Electronic Components*; Application Specific Semiconductors; Application Software</t>
        </is>
      </c>
      <c r="K27" s="19" t="inlineStr">
        <is>
          <t>Artificial Intelligence &amp; Machine Learning, Big Data, Mobile</t>
        </is>
      </c>
      <c r="L27" s="20" t="inlineStr">
        <is>
          <t>Venture Capital-Backed</t>
        </is>
      </c>
      <c r="M27" s="21" t="n">
        <v>96.73</v>
      </c>
      <c r="N27" s="22" t="inlineStr">
        <is>
          <t>Generating Revenue</t>
        </is>
      </c>
      <c r="O27" s="23" t="inlineStr">
        <is>
          <t>Privately Held (backing)</t>
        </is>
      </c>
      <c r="P27" s="24" t="inlineStr">
        <is>
          <t>Venture Capital</t>
        </is>
      </c>
      <c r="Q27" s="25" t="inlineStr">
        <is>
          <t>www.graphcore.ai</t>
        </is>
      </c>
      <c r="R27" s="26" t="n">
        <v>60.0</v>
      </c>
      <c r="S27" s="27" t="inlineStr">
        <is>
          <t/>
        </is>
      </c>
      <c r="T27" s="28" t="inlineStr">
        <is>
          <t/>
        </is>
      </c>
      <c r="U27" s="29" t="n">
        <v>2016.0</v>
      </c>
      <c r="V27" s="30" t="inlineStr">
        <is>
          <t/>
        </is>
      </c>
      <c r="W27" s="31" t="inlineStr">
        <is>
          <t/>
        </is>
      </c>
      <c r="X27" s="32" t="inlineStr">
        <is>
          <t/>
        </is>
      </c>
      <c r="Y27" s="33" t="inlineStr">
        <is>
          <t/>
        </is>
      </c>
      <c r="Z27" s="34" t="inlineStr">
        <is>
          <t/>
        </is>
      </c>
      <c r="AA27" s="35" t="inlineStr">
        <is>
          <t/>
        </is>
      </c>
      <c r="AB27" s="36" t="inlineStr">
        <is>
          <t/>
        </is>
      </c>
      <c r="AC27" s="37" t="inlineStr">
        <is>
          <t/>
        </is>
      </c>
      <c r="AD27" s="38" t="inlineStr">
        <is>
          <t/>
        </is>
      </c>
      <c r="AE27" s="39" t="inlineStr">
        <is>
          <t>30488-50P</t>
        </is>
      </c>
      <c r="AF27" s="40" t="inlineStr">
        <is>
          <t>Nigel Toon</t>
        </is>
      </c>
      <c r="AG27" s="41" t="inlineStr">
        <is>
          <t>Co-Founder, Board Member &amp; Chief Executive Officer</t>
        </is>
      </c>
      <c r="AH27" s="42" t="inlineStr">
        <is>
          <t>nigel.toon@graphcore.ai</t>
        </is>
      </c>
      <c r="AI27" s="43" t="inlineStr">
        <is>
          <t/>
        </is>
      </c>
      <c r="AJ27" s="44" t="inlineStr">
        <is>
          <t>Bristol, United Kingdom</t>
        </is>
      </c>
      <c r="AK27" s="45" t="inlineStr">
        <is>
          <t>11-19 Wine Street</t>
        </is>
      </c>
      <c r="AL27" s="46" t="inlineStr">
        <is>
          <t/>
        </is>
      </c>
      <c r="AM27" s="47" t="inlineStr">
        <is>
          <t>Bristol</t>
        </is>
      </c>
      <c r="AN27" s="48" t="inlineStr">
        <is>
          <t>England</t>
        </is>
      </c>
      <c r="AO27" s="49" t="inlineStr">
        <is>
          <t>BS1 2PH</t>
        </is>
      </c>
      <c r="AP27" s="50" t="inlineStr">
        <is>
          <t>United Kingdom</t>
        </is>
      </c>
      <c r="AQ27" s="51" t="inlineStr">
        <is>
          <t/>
        </is>
      </c>
      <c r="AR27" s="52" t="inlineStr">
        <is>
          <t/>
        </is>
      </c>
      <c r="AS27" s="53" t="inlineStr">
        <is>
          <t/>
        </is>
      </c>
      <c r="AT27" s="54" t="inlineStr">
        <is>
          <t>Europe</t>
        </is>
      </c>
      <c r="AU27" s="55" t="inlineStr">
        <is>
          <t>Western Europe</t>
        </is>
      </c>
      <c r="AV27" s="56" t="inlineStr">
        <is>
          <t>The company raised $50 million of Series C venture funding in a deal led by Sequoia Capital on November 12, 2017. Amadeus Capital Partners, Robert Bosch Venture Capital, C4 Ventures, Dell Technologies Capital, Draper Esprit, Foundation Capital, Pitango Venture Capital, Samsung Strategy and Innovation Center and Atomico also participated in the round. The funds will be invested in boosting production, hire developers, build a team in California, growing the company's US office for customer support, and building a community of developers for the platform. Previously, the company raised $30 million of Series B venture funding from lead investor Atomico UK Partners on July 20, 2017, putting the pre-money valuation at $58.5 million.</t>
        </is>
      </c>
      <c r="AW27" s="57" t="inlineStr">
        <is>
          <t>Amadeus Capital Partners, Atomico, C4 Ventures, Dell Technologies Capital, Draper Esprit, Foundation Capital, Greg Brockman, Ilya Sutskever, Pieter Abbeel, Pitango Venture Capital, Robert Bosch Venture Capital, Samsung Catalyst, Scott Gray, Sequoia Capital, Wyvern Fund, Zoubin Ghahramani</t>
        </is>
      </c>
      <c r="AX27" s="58" t="n">
        <v>16.0</v>
      </c>
      <c r="AY27" s="59" t="inlineStr">
        <is>
          <t/>
        </is>
      </c>
      <c r="AZ27" s="60" t="inlineStr">
        <is>
          <t/>
        </is>
      </c>
      <c r="BA27" s="61" t="inlineStr">
        <is>
          <t/>
        </is>
      </c>
      <c r="BB27" s="62" t="inlineStr">
        <is>
          <t>Amadeus Capital Partners (www.amadeuscapital.com), Atomico (www.atomico.com), C4 Ventures (www.c4v.com), Dell Technologies Capital (www.delltechnologies.com), Draper Esprit (www.draperesprit.com), Foundation Capital (www.foundationcapital.com), Greg Brockman (www.gregbrockman.com), Pitango Venture Capital (www.pitango.com), Robert Bosch Venture Capital (www.rbvc.com), Samsung Catalyst (www.samsungcatalyst.com), Sequoia Capital (www.sequoiacap.com), Wyvern Fund (www.wyvernfund.com)</t>
        </is>
      </c>
      <c r="BC27" s="63" t="inlineStr">
        <is>
          <t/>
        </is>
      </c>
      <c r="BD27" s="64" t="inlineStr">
        <is>
          <t/>
        </is>
      </c>
      <c r="BE27" s="65" t="inlineStr">
        <is>
          <t>Orrick, Herrington &amp; Sutcliffe (Legal Advisor)</t>
        </is>
      </c>
      <c r="BF27" s="66" t="inlineStr">
        <is>
          <t>Orrick, Herrington &amp; Sutcliffe (Legal Advisor)</t>
        </is>
      </c>
      <c r="BG27" s="67" t="inlineStr">
        <is>
          <t/>
        </is>
      </c>
      <c r="BH27" s="68" t="inlineStr">
        <is>
          <t/>
        </is>
      </c>
      <c r="BI27" s="69" t="inlineStr">
        <is>
          <t/>
        </is>
      </c>
      <c r="BJ27" s="70" t="inlineStr">
        <is>
          <t/>
        </is>
      </c>
      <c r="BK27" s="71" t="inlineStr">
        <is>
          <t/>
        </is>
      </c>
      <c r="BL27" s="72" t="inlineStr">
        <is>
          <t>Seed Round</t>
        </is>
      </c>
      <c r="BM27" s="73" t="inlineStr">
        <is>
          <t>Seed</t>
        </is>
      </c>
      <c r="BN27" s="74" t="inlineStr">
        <is>
          <t/>
        </is>
      </c>
      <c r="BO27" s="75" t="inlineStr">
        <is>
          <t>Venture Capital</t>
        </is>
      </c>
      <c r="BP27" s="76" t="inlineStr">
        <is>
          <t/>
        </is>
      </c>
      <c r="BQ27" s="77" t="inlineStr">
        <is>
          <t/>
        </is>
      </c>
      <c r="BR27" s="78" t="inlineStr">
        <is>
          <t/>
        </is>
      </c>
      <c r="BS27" s="79" t="inlineStr">
        <is>
          <t>Completed</t>
        </is>
      </c>
      <c r="BT27" s="80" t="n">
        <v>43051.0</v>
      </c>
      <c r="BU27" s="81" t="n">
        <v>42.52</v>
      </c>
      <c r="BV27" s="82" t="inlineStr">
        <is>
          <t>Actual</t>
        </is>
      </c>
      <c r="BW27" s="83" t="inlineStr">
        <is>
          <t/>
        </is>
      </c>
      <c r="BX27" s="84" t="inlineStr">
        <is>
          <t/>
        </is>
      </c>
      <c r="BY27" s="85" t="inlineStr">
        <is>
          <t>Later Stage VC</t>
        </is>
      </c>
      <c r="BZ27" s="86" t="inlineStr">
        <is>
          <t>Series C</t>
        </is>
      </c>
      <c r="CA27" s="87" t="inlineStr">
        <is>
          <t/>
        </is>
      </c>
      <c r="CB27" s="88" t="inlineStr">
        <is>
          <t>Venture Capital</t>
        </is>
      </c>
      <c r="CC27" s="89" t="inlineStr">
        <is>
          <t/>
        </is>
      </c>
      <c r="CD27" s="90" t="inlineStr">
        <is>
          <t/>
        </is>
      </c>
      <c r="CE27" s="91" t="inlineStr">
        <is>
          <t/>
        </is>
      </c>
      <c r="CF27" s="92" t="inlineStr">
        <is>
          <t>Completed</t>
        </is>
      </c>
      <c r="CG27" s="93" t="inlineStr">
        <is>
          <t>1,14%</t>
        </is>
      </c>
      <c r="CH27" s="94" t="inlineStr">
        <is>
          <t>95</t>
        </is>
      </c>
      <c r="CI27" s="95" t="inlineStr">
        <is>
          <t>-0,02%</t>
        </is>
      </c>
      <c r="CJ27" s="96" t="inlineStr">
        <is>
          <t>-2,00%</t>
        </is>
      </c>
      <c r="CK27" s="97" t="inlineStr">
        <is>
          <t>-0,63%</t>
        </is>
      </c>
      <c r="CL27" s="98" t="inlineStr">
        <is>
          <t>22</t>
        </is>
      </c>
      <c r="CM27" s="99" t="inlineStr">
        <is>
          <t>1,72%</t>
        </is>
      </c>
      <c r="CN27" s="100" t="inlineStr">
        <is>
          <t>98</t>
        </is>
      </c>
      <c r="CO27" s="101" t="inlineStr">
        <is>
          <t>-3,20%</t>
        </is>
      </c>
      <c r="CP27" s="102" t="inlineStr">
        <is>
          <t>26</t>
        </is>
      </c>
      <c r="CQ27" s="103" t="inlineStr">
        <is>
          <t>1,94%</t>
        </is>
      </c>
      <c r="CR27" s="104" t="inlineStr">
        <is>
          <t>95</t>
        </is>
      </c>
      <c r="CS27" s="105" t="inlineStr">
        <is>
          <t>2,15%</t>
        </is>
      </c>
      <c r="CT27" s="106" t="inlineStr">
        <is>
          <t>98</t>
        </is>
      </c>
      <c r="CU27" s="107" t="inlineStr">
        <is>
          <t>1,29%</t>
        </is>
      </c>
      <c r="CV27" s="108" t="inlineStr">
        <is>
          <t>98</t>
        </is>
      </c>
      <c r="CW27" s="109" t="inlineStr">
        <is>
          <t>5,58x</t>
        </is>
      </c>
      <c r="CX27" s="110" t="inlineStr">
        <is>
          <t>81</t>
        </is>
      </c>
      <c r="CY27" s="111" t="inlineStr">
        <is>
          <t>0,18x</t>
        </is>
      </c>
      <c r="CZ27" s="112" t="inlineStr">
        <is>
          <t>3,32%</t>
        </is>
      </c>
      <c r="DA27" s="113" t="inlineStr">
        <is>
          <t>12,99x</t>
        </is>
      </c>
      <c r="DB27" s="114" t="inlineStr">
        <is>
          <t>91</t>
        </is>
      </c>
      <c r="DC27" s="115" t="inlineStr">
        <is>
          <t>3,55x</t>
        </is>
      </c>
      <c r="DD27" s="116" t="inlineStr">
        <is>
          <t>71</t>
        </is>
      </c>
      <c r="DE27" s="117" t="inlineStr">
        <is>
          <t>7,35x</t>
        </is>
      </c>
      <c r="DF27" s="118" t="inlineStr">
        <is>
          <t>85</t>
        </is>
      </c>
      <c r="DG27" s="119" t="inlineStr">
        <is>
          <t>18,64x</t>
        </is>
      </c>
      <c r="DH27" s="120" t="inlineStr">
        <is>
          <t>93</t>
        </is>
      </c>
      <c r="DI27" s="121" t="inlineStr">
        <is>
          <t>0,36x</t>
        </is>
      </c>
      <c r="DJ27" s="122" t="inlineStr">
        <is>
          <t>33</t>
        </is>
      </c>
      <c r="DK27" s="123" t="inlineStr">
        <is>
          <t>6,74x</t>
        </is>
      </c>
      <c r="DL27" s="124" t="inlineStr">
        <is>
          <t>83</t>
        </is>
      </c>
      <c r="DM27" s="125" t="inlineStr">
        <is>
          <t>2.671</t>
        </is>
      </c>
      <c r="DN27" s="126" t="inlineStr">
        <is>
          <t>277</t>
        </is>
      </c>
      <c r="DO27" s="127" t="inlineStr">
        <is>
          <t>11,57%</t>
        </is>
      </c>
      <c r="DP27" s="128" t="inlineStr">
        <is>
          <t>279</t>
        </is>
      </c>
      <c r="DQ27" s="129" t="inlineStr">
        <is>
          <t>16</t>
        </is>
      </c>
      <c r="DR27" s="130" t="inlineStr">
        <is>
          <t>6,08%</t>
        </is>
      </c>
      <c r="DS27" s="131" t="inlineStr">
        <is>
          <t>655</t>
        </is>
      </c>
      <c r="DT27" s="132" t="inlineStr">
        <is>
          <t>26</t>
        </is>
      </c>
      <c r="DU27" s="133" t="inlineStr">
        <is>
          <t>4,13%</t>
        </is>
      </c>
      <c r="DV27" s="134" t="inlineStr">
        <is>
          <t>2.500</t>
        </is>
      </c>
      <c r="DW27" s="135" t="inlineStr">
        <is>
          <t>52</t>
        </is>
      </c>
      <c r="DX27" s="136" t="inlineStr">
        <is>
          <t>2,12%</t>
        </is>
      </c>
      <c r="DY27" s="137" t="inlineStr">
        <is>
          <t>PitchBook Research</t>
        </is>
      </c>
      <c r="DZ27" s="785">
        <f>HYPERLINK("https://my.pitchbook.com?c=166649-68", "View company online")</f>
      </c>
    </row>
    <row r="28">
      <c r="A28" s="139" t="inlineStr">
        <is>
          <t>60499-18</t>
        </is>
      </c>
      <c r="B28" s="140" t="inlineStr">
        <is>
          <t>Interactive Investor</t>
        </is>
      </c>
      <c r="C28" s="141" t="inlineStr">
        <is>
          <t/>
        </is>
      </c>
      <c r="D28" s="142" t="inlineStr">
        <is>
          <t>Interactive Investor Trading Limited</t>
        </is>
      </c>
      <c r="E28" s="143" t="inlineStr">
        <is>
          <t>60499-18</t>
        </is>
      </c>
      <c r="F28" s="144" t="inlineStr">
        <is>
          <t>Operator of an investment and trading website in the U.K. The company provides a platform enabling retail investors to trade directly from its web portal and to receive financial notification services. It offers a range of investment options including Share and Fund dealing, SIPP, ISA and Junior ISA trading accounts, investment filters and a selection of ready-made investment options.</t>
        </is>
      </c>
      <c r="G28" s="145" t="inlineStr">
        <is>
          <t>Business Products and Services (B2B)</t>
        </is>
      </c>
      <c r="H28" s="146" t="inlineStr">
        <is>
          <t>Commercial Services</t>
        </is>
      </c>
      <c r="I28" s="147" t="inlineStr">
        <is>
          <t>Other Commercial Services</t>
        </is>
      </c>
      <c r="J28" s="148" t="inlineStr">
        <is>
          <t>Other Commercial Services*; Other Financial Services; Financial Software</t>
        </is>
      </c>
      <c r="K28" s="149" t="inlineStr">
        <is>
          <t>FinTech, SaaS</t>
        </is>
      </c>
      <c r="L28" s="150" t="inlineStr">
        <is>
          <t>Venture Capital-Backed</t>
        </is>
      </c>
      <c r="M28" s="151" t="n">
        <v>90.05</v>
      </c>
      <c r="N28" s="152" t="inlineStr">
        <is>
          <t>Generating Revenue</t>
        </is>
      </c>
      <c r="O28" s="153" t="inlineStr">
        <is>
          <t>Privately Held (backing)</t>
        </is>
      </c>
      <c r="P28" s="154" t="inlineStr">
        <is>
          <t>Venture Capital, Private Equity</t>
        </is>
      </c>
      <c r="Q28" s="155" t="inlineStr">
        <is>
          <t>www.iii.co.uk</t>
        </is>
      </c>
      <c r="R28" s="156" t="n">
        <v>161.0</v>
      </c>
      <c r="S28" s="157" t="inlineStr">
        <is>
          <t/>
        </is>
      </c>
      <c r="T28" s="158" t="inlineStr">
        <is>
          <t/>
        </is>
      </c>
      <c r="U28" s="159" t="n">
        <v>1995.0</v>
      </c>
      <c r="V28" s="160" t="inlineStr">
        <is>
          <t>AMP (Reinsurance Runoff Operations)</t>
        </is>
      </c>
      <c r="W28" s="161" t="inlineStr">
        <is>
          <t/>
        </is>
      </c>
      <c r="X28" s="162" t="inlineStr">
        <is>
          <t/>
        </is>
      </c>
      <c r="Y28" s="163" t="n">
        <v>22.54259</v>
      </c>
      <c r="Z28" s="164" t="n">
        <v>18.35255</v>
      </c>
      <c r="AA28" s="165" t="n">
        <v>-2.22401</v>
      </c>
      <c r="AB28" s="166" t="inlineStr">
        <is>
          <t/>
        </is>
      </c>
      <c r="AC28" s="167" t="n">
        <v>-1.48564</v>
      </c>
      <c r="AD28" s="168" t="inlineStr">
        <is>
          <t>FY 2016</t>
        </is>
      </c>
      <c r="AE28" s="169" t="inlineStr">
        <is>
          <t>107276-95P</t>
        </is>
      </c>
      <c r="AF28" s="170" t="inlineStr">
        <is>
          <t>Barry Bicknell</t>
        </is>
      </c>
      <c r="AG28" s="171" t="inlineStr">
        <is>
          <t>Chief Financial Officer and Board Member</t>
        </is>
      </c>
      <c r="AH28" s="172" t="inlineStr">
        <is>
          <t>barry.bicknell@iii.co.uk</t>
        </is>
      </c>
      <c r="AI28" s="173" t="inlineStr">
        <is>
          <t>+44 (0)84 5200 3637</t>
        </is>
      </c>
      <c r="AJ28" s="174" t="inlineStr">
        <is>
          <t>London, United Kingdom</t>
        </is>
      </c>
      <c r="AK28" s="175" t="inlineStr">
        <is>
          <t>Standon House</t>
        </is>
      </c>
      <c r="AL28" s="176" t="inlineStr">
        <is>
          <t>21 Mansell Street</t>
        </is>
      </c>
      <c r="AM28" s="177" t="inlineStr">
        <is>
          <t>London</t>
        </is>
      </c>
      <c r="AN28" s="178" t="inlineStr">
        <is>
          <t>England</t>
        </is>
      </c>
      <c r="AO28" s="179" t="inlineStr">
        <is>
          <t>E1 8AA</t>
        </is>
      </c>
      <c r="AP28" s="180" t="inlineStr">
        <is>
          <t>United Kingdom</t>
        </is>
      </c>
      <c r="AQ28" s="181" t="inlineStr">
        <is>
          <t>+44 (0)84 5200 3637</t>
        </is>
      </c>
      <c r="AR28" s="182" t="inlineStr">
        <is>
          <t/>
        </is>
      </c>
      <c r="AS28" s="183" t="inlineStr">
        <is>
          <t/>
        </is>
      </c>
      <c r="AT28" s="184" t="inlineStr">
        <is>
          <t>Europe</t>
        </is>
      </c>
      <c r="AU28" s="185" t="inlineStr">
        <is>
          <t>Western Europe</t>
        </is>
      </c>
      <c r="AV28" s="186" t="inlineStr">
        <is>
          <t>The company raised GBP 79 million of venture funding from undisclosed investors on June 2, 2017, putting the pre-money valuation at GBP 59.76 million. Previously, the company was acquired by J.C. Flowers &amp; Company through an LBO on October 12, 2016 for an undisclosed sum. The financing from the deal will be used to acquired TD Direct Investing.</t>
        </is>
      </c>
      <c r="AW28" s="187" t="inlineStr">
        <is>
          <t>Augmentum Capital, GP Bullhound, J.C. Flowers &amp; Company, MMC Ventures</t>
        </is>
      </c>
      <c r="AX28" s="188" t="n">
        <v>4.0</v>
      </c>
      <c r="AY28" s="189" t="inlineStr">
        <is>
          <t/>
        </is>
      </c>
      <c r="AZ28" s="190" t="inlineStr">
        <is>
          <t>AMP (Reinsurance Runoff Operations), Arts Alliance, Hollinger Digital</t>
        </is>
      </c>
      <c r="BA28" s="191" t="inlineStr">
        <is>
          <t/>
        </is>
      </c>
      <c r="BB28" s="192" t="inlineStr">
        <is>
          <t>Augmentum Capital (www.augmentumcapital.com), GP Bullhound (www.gpbullhound.com), J.C. Flowers &amp; Company (www.jcfco.com), MMC Ventures (www.mmcventures.com)</t>
        </is>
      </c>
      <c r="BC28" s="193" t="inlineStr">
        <is>
          <t>Arts Alliance (www.artsalliance.co.uk)</t>
        </is>
      </c>
      <c r="BD28" s="194" t="inlineStr">
        <is>
          <t/>
        </is>
      </c>
      <c r="BE28" s="195" t="inlineStr">
        <is>
          <t>GP Bullhound (Advisor: General), RSM UK (Auditor)</t>
        </is>
      </c>
      <c r="BF28" s="196" t="inlineStr">
        <is>
          <t>Clarity Capital Partners (Advisor: General)</t>
        </is>
      </c>
      <c r="BG28" s="197" t="n">
        <v>36526.0</v>
      </c>
      <c r="BH28" s="198" t="inlineStr">
        <is>
          <t/>
        </is>
      </c>
      <c r="BI28" s="199" t="inlineStr">
        <is>
          <t/>
        </is>
      </c>
      <c r="BJ28" s="200" t="inlineStr">
        <is>
          <t/>
        </is>
      </c>
      <c r="BK28" s="201" t="inlineStr">
        <is>
          <t/>
        </is>
      </c>
      <c r="BL28" s="202" t="inlineStr">
        <is>
          <t>Later Stage VC</t>
        </is>
      </c>
      <c r="BM28" s="203" t="inlineStr">
        <is>
          <t/>
        </is>
      </c>
      <c r="BN28" s="204" t="inlineStr">
        <is>
          <t/>
        </is>
      </c>
      <c r="BO28" s="205" t="inlineStr">
        <is>
          <t>Venture Capital</t>
        </is>
      </c>
      <c r="BP28" s="206" t="inlineStr">
        <is>
          <t/>
        </is>
      </c>
      <c r="BQ28" s="207" t="inlineStr">
        <is>
          <t/>
        </is>
      </c>
      <c r="BR28" s="208" t="inlineStr">
        <is>
          <t/>
        </is>
      </c>
      <c r="BS28" s="209" t="inlineStr">
        <is>
          <t>Completed</t>
        </is>
      </c>
      <c r="BT28" s="210" t="n">
        <v>42888.0</v>
      </c>
      <c r="BU28" s="211" t="n">
        <v>90.05</v>
      </c>
      <c r="BV28" s="212" t="inlineStr">
        <is>
          <t>Actual</t>
        </is>
      </c>
      <c r="BW28" s="213" t="n">
        <v>158.18</v>
      </c>
      <c r="BX28" s="214" t="inlineStr">
        <is>
          <t>Actual</t>
        </is>
      </c>
      <c r="BY28" s="215" t="inlineStr">
        <is>
          <t>Later Stage VC</t>
        </is>
      </c>
      <c r="BZ28" s="216" t="inlineStr">
        <is>
          <t/>
        </is>
      </c>
      <c r="CA28" s="217" t="inlineStr">
        <is>
          <t/>
        </is>
      </c>
      <c r="CB28" s="218" t="inlineStr">
        <is>
          <t>Venture Capital</t>
        </is>
      </c>
      <c r="CC28" s="219" t="inlineStr">
        <is>
          <t/>
        </is>
      </c>
      <c r="CD28" s="220" t="inlineStr">
        <is>
          <t/>
        </is>
      </c>
      <c r="CE28" s="221" t="inlineStr">
        <is>
          <t/>
        </is>
      </c>
      <c r="CF28" s="222" t="inlineStr">
        <is>
          <t>Completed</t>
        </is>
      </c>
      <c r="CG28" s="223" t="inlineStr">
        <is>
          <t>-4,93%</t>
        </is>
      </c>
      <c r="CH28" s="224" t="inlineStr">
        <is>
          <t>4</t>
        </is>
      </c>
      <c r="CI28" s="225" t="inlineStr">
        <is>
          <t>0,04%</t>
        </is>
      </c>
      <c r="CJ28" s="226" t="inlineStr">
        <is>
          <t>0,77%</t>
        </is>
      </c>
      <c r="CK28" s="227" t="inlineStr">
        <is>
          <t>-10,19%</t>
        </is>
      </c>
      <c r="CL28" s="228" t="inlineStr">
        <is>
          <t>3</t>
        </is>
      </c>
      <c r="CM28" s="229" t="inlineStr">
        <is>
          <t>0,34%</t>
        </is>
      </c>
      <c r="CN28" s="230" t="inlineStr">
        <is>
          <t>82</t>
        </is>
      </c>
      <c r="CO28" s="231" t="inlineStr">
        <is>
          <t>-24,21%</t>
        </is>
      </c>
      <c r="CP28" s="232" t="inlineStr">
        <is>
          <t>3</t>
        </is>
      </c>
      <c r="CQ28" s="233" t="inlineStr">
        <is>
          <t>3,83%</t>
        </is>
      </c>
      <c r="CR28" s="234" t="inlineStr">
        <is>
          <t>97</t>
        </is>
      </c>
      <c r="CS28" s="235" t="inlineStr">
        <is>
          <t>0,18%</t>
        </is>
      </c>
      <c r="CT28" s="236" t="inlineStr">
        <is>
          <t>67</t>
        </is>
      </c>
      <c r="CU28" s="237" t="inlineStr">
        <is>
          <t>0,50%</t>
        </is>
      </c>
      <c r="CV28" s="238" t="inlineStr">
        <is>
          <t>91</t>
        </is>
      </c>
      <c r="CW28" s="239" t="inlineStr">
        <is>
          <t>63,51x</t>
        </is>
      </c>
      <c r="CX28" s="240" t="inlineStr">
        <is>
          <t>97</t>
        </is>
      </c>
      <c r="CY28" s="241" t="inlineStr">
        <is>
          <t>1,69x</t>
        </is>
      </c>
      <c r="CZ28" s="242" t="inlineStr">
        <is>
          <t>2,73%</t>
        </is>
      </c>
      <c r="DA28" s="243" t="inlineStr">
        <is>
          <t>119,81x</t>
        </is>
      </c>
      <c r="DB28" s="244" t="inlineStr">
        <is>
          <t>99</t>
        </is>
      </c>
      <c r="DC28" s="245" t="inlineStr">
        <is>
          <t>7,21x</t>
        </is>
      </c>
      <c r="DD28" s="246" t="inlineStr">
        <is>
          <t>81</t>
        </is>
      </c>
      <c r="DE28" s="247" t="inlineStr">
        <is>
          <t>29,93x</t>
        </is>
      </c>
      <c r="DF28" s="248" t="inlineStr">
        <is>
          <t>94</t>
        </is>
      </c>
      <c r="DG28" s="249" t="inlineStr">
        <is>
          <t>209,69x</t>
        </is>
      </c>
      <c r="DH28" s="250" t="inlineStr">
        <is>
          <t>100</t>
        </is>
      </c>
      <c r="DI28" s="251" t="inlineStr">
        <is>
          <t>1,88x</t>
        </is>
      </c>
      <c r="DJ28" s="252" t="inlineStr">
        <is>
          <t>61</t>
        </is>
      </c>
      <c r="DK28" s="253" t="inlineStr">
        <is>
          <t>12,55x</t>
        </is>
      </c>
      <c r="DL28" s="254" t="inlineStr">
        <is>
          <t>89</t>
        </is>
      </c>
      <c r="DM28" s="255" t="inlineStr">
        <is>
          <t>11.096</t>
        </is>
      </c>
      <c r="DN28" s="256" t="inlineStr">
        <is>
          <t>33</t>
        </is>
      </c>
      <c r="DO28" s="257" t="inlineStr">
        <is>
          <t>0,30%</t>
        </is>
      </c>
      <c r="DP28" s="258" t="inlineStr">
        <is>
          <t>1.482</t>
        </is>
      </c>
      <c r="DQ28" s="259" t="inlineStr">
        <is>
          <t>6</t>
        </is>
      </c>
      <c r="DR28" s="260" t="inlineStr">
        <is>
          <t>0,41%</t>
        </is>
      </c>
      <c r="DS28" s="261" t="inlineStr">
        <is>
          <t>7.443</t>
        </is>
      </c>
      <c r="DT28" s="262" t="inlineStr">
        <is>
          <t>248</t>
        </is>
      </c>
      <c r="DU28" s="263" t="inlineStr">
        <is>
          <t>3,45%</t>
        </is>
      </c>
      <c r="DV28" s="264" t="inlineStr">
        <is>
          <t>4.689</t>
        </is>
      </c>
      <c r="DW28" s="265" t="inlineStr">
        <is>
          <t>5</t>
        </is>
      </c>
      <c r="DX28" s="266" t="inlineStr">
        <is>
          <t>0,11%</t>
        </is>
      </c>
      <c r="DY28" s="267" t="inlineStr">
        <is>
          <t>PitchBook Research</t>
        </is>
      </c>
      <c r="DZ28" s="786">
        <f>HYPERLINK("https://my.pitchbook.com?c=60499-18", "View company online")</f>
      </c>
    </row>
    <row r="29">
      <c r="A29" s="9" t="inlineStr">
        <is>
          <t>55306-99</t>
        </is>
      </c>
      <c r="B29" s="10" t="inlineStr">
        <is>
          <t>Younited Credit</t>
        </is>
      </c>
      <c r="C29" s="11" t="inlineStr">
        <is>
          <t>Pret d'Union</t>
        </is>
      </c>
      <c r="D29" s="12" t="inlineStr">
        <is>
          <t/>
        </is>
      </c>
      <c r="E29" s="13" t="inlineStr">
        <is>
          <t>55306-99</t>
        </is>
      </c>
      <c r="F29" s="14" t="inlineStr">
        <is>
          <t>Provider of an online peer-to peer lending platform designed to facilitate financial transactions between individual lenders and borrowers. The company's online financial platform facilitates transactions and loans without the intermediation of any financial institutions, enabling borrowers to get hassle free loans and credit directly from individual lenders at a much cheaper interest rate.</t>
        </is>
      </c>
      <c r="G29" s="15" t="inlineStr">
        <is>
          <t>Information Technology</t>
        </is>
      </c>
      <c r="H29" s="16" t="inlineStr">
        <is>
          <t>Software</t>
        </is>
      </c>
      <c r="I29" s="17" t="inlineStr">
        <is>
          <t>Financial Software</t>
        </is>
      </c>
      <c r="J29" s="18" t="inlineStr">
        <is>
          <t>Financial Software*; Specialized Finance</t>
        </is>
      </c>
      <c r="K29" s="19" t="inlineStr">
        <is>
          <t>FinTech</t>
        </is>
      </c>
      <c r="L29" s="20" t="inlineStr">
        <is>
          <t>Venture Capital-Backed</t>
        </is>
      </c>
      <c r="M29" s="21" t="n">
        <v>88.75</v>
      </c>
      <c r="N29" s="22" t="inlineStr">
        <is>
          <t>Generating Revenue</t>
        </is>
      </c>
      <c r="O29" s="23" t="inlineStr">
        <is>
          <t>Privately Held (backing)</t>
        </is>
      </c>
      <c r="P29" s="24" t="inlineStr">
        <is>
          <t>Venture Capital</t>
        </is>
      </c>
      <c r="Q29" s="25" t="inlineStr">
        <is>
          <t>www.younited-credit.com</t>
        </is>
      </c>
      <c r="R29" s="26" t="n">
        <v>190.0</v>
      </c>
      <c r="S29" s="27" t="inlineStr">
        <is>
          <t/>
        </is>
      </c>
      <c r="T29" s="28" t="inlineStr">
        <is>
          <t/>
        </is>
      </c>
      <c r="U29" s="29" t="n">
        <v>2009.0</v>
      </c>
      <c r="V29" s="30" t="inlineStr">
        <is>
          <t/>
        </is>
      </c>
      <c r="W29" s="31" t="inlineStr">
        <is>
          <t/>
        </is>
      </c>
      <c r="X29" s="32" t="inlineStr">
        <is>
          <t/>
        </is>
      </c>
      <c r="Y29" s="33" t="n">
        <v>0.0</v>
      </c>
      <c r="Z29" s="34" t="inlineStr">
        <is>
          <t/>
        </is>
      </c>
      <c r="AA29" s="35" t="n">
        <v>-0.17405</v>
      </c>
      <c r="AB29" s="36" t="inlineStr">
        <is>
          <t/>
        </is>
      </c>
      <c r="AC29" s="37" t="n">
        <v>-0.15135</v>
      </c>
      <c r="AD29" s="38" t="inlineStr">
        <is>
          <t>FY 2010</t>
        </is>
      </c>
      <c r="AE29" s="39" t="inlineStr">
        <is>
          <t>158967-73P</t>
        </is>
      </c>
      <c r="AF29" s="40" t="inlineStr">
        <is>
          <t>Xavier Pierart</t>
        </is>
      </c>
      <c r="AG29" s="41" t="inlineStr">
        <is>
          <t>Chief Financial Officer</t>
        </is>
      </c>
      <c r="AH29" s="42" t="inlineStr">
        <is>
          <t>xavier.pierart@younited-credit.com</t>
        </is>
      </c>
      <c r="AI29" s="43" t="inlineStr">
        <is>
          <t/>
        </is>
      </c>
      <c r="AJ29" s="44" t="inlineStr">
        <is>
          <t>Paris, France</t>
        </is>
      </c>
      <c r="AK29" s="45" t="inlineStr">
        <is>
          <t>24 rue Drouot</t>
        </is>
      </c>
      <c r="AL29" s="46" t="inlineStr">
        <is>
          <t>CS 90600</t>
        </is>
      </c>
      <c r="AM29" s="47" t="inlineStr">
        <is>
          <t>Paris</t>
        </is>
      </c>
      <c r="AN29" s="48" t="inlineStr">
        <is>
          <t/>
        </is>
      </c>
      <c r="AO29" s="49" t="inlineStr">
        <is>
          <t>75009</t>
        </is>
      </c>
      <c r="AP29" s="50" t="inlineStr">
        <is>
          <t>France</t>
        </is>
      </c>
      <c r="AQ29" s="51" t="inlineStr">
        <is>
          <t/>
        </is>
      </c>
      <c r="AR29" s="52" t="inlineStr">
        <is>
          <t/>
        </is>
      </c>
      <c r="AS29" s="53" t="inlineStr">
        <is>
          <t/>
        </is>
      </c>
      <c r="AT29" s="54" t="inlineStr">
        <is>
          <t>Europe</t>
        </is>
      </c>
      <c r="AU29" s="55" t="inlineStr">
        <is>
          <t>Western Europe</t>
        </is>
      </c>
      <c r="AV29" s="56" t="inlineStr">
        <is>
          <t>The company raised EUR 40 million of venture funding from Bpifrance, Matmut Innovation and Zencap Asset Management on September 19, 2017. Eurazeo, Crédit Mutuel Arkéa, AG2R La Mondiale and Weber Investissements also participated in the round. The funds will be used to further invest in data science, credit scoring, development of proprietary technologies and accelerate the company's European expansion. The company raised EUR 103 million of total funding till date</t>
        </is>
      </c>
      <c r="AW29" s="57" t="inlineStr">
        <is>
          <t>AG2R La Mondiale, Bpifrance, Crédit Mutuel Arkéa, Credit Mutuel Ocean, Eurazeo, Jérémie Berrebi, Kima Ventures, Matmut, Pierre Kosciusko Morizet, Schibsted Growth, Weber Investissements, Zencap Asset Management</t>
        </is>
      </c>
      <c r="AX29" s="58" t="n">
        <v>12.0</v>
      </c>
      <c r="AY29" s="59" t="inlineStr">
        <is>
          <t/>
        </is>
      </c>
      <c r="AZ29" s="60" t="inlineStr">
        <is>
          <t/>
        </is>
      </c>
      <c r="BA29" s="61" t="inlineStr">
        <is>
          <t/>
        </is>
      </c>
      <c r="BB29" s="62" t="inlineStr">
        <is>
          <t>AG2R La Mondiale (www.ag2rlamondiale.fr), Bpifrance (www.bpifrance.fr), Crédit Mutuel Arkéa (www.arkea.com), Eurazeo (www.eurazeo.com), Jérémie Berrebi (www.berrebi.org), Kima Ventures (www.kimaventures.com), Matmut (www.matmut.fr), Schibsted Growth (www.schibstedgrowth.com), Zencap Asset Management (www.zencap-am.fr)</t>
        </is>
      </c>
      <c r="BC29" s="63" t="inlineStr">
        <is>
          <t/>
        </is>
      </c>
      <c r="BD29" s="64" t="inlineStr">
        <is>
          <t/>
        </is>
      </c>
      <c r="BE29" s="65" t="inlineStr">
        <is>
          <t/>
        </is>
      </c>
      <c r="BF29" s="66" t="inlineStr">
        <is>
          <t/>
        </is>
      </c>
      <c r="BG29" s="67" t="n">
        <v>40299.0</v>
      </c>
      <c r="BH29" s="68" t="n">
        <v>0.65</v>
      </c>
      <c r="BI29" s="69" t="inlineStr">
        <is>
          <t>Actual</t>
        </is>
      </c>
      <c r="BJ29" s="70" t="inlineStr">
        <is>
          <t/>
        </is>
      </c>
      <c r="BK29" s="71" t="inlineStr">
        <is>
          <t/>
        </is>
      </c>
      <c r="BL29" s="72" t="inlineStr">
        <is>
          <t>Angel (individual)</t>
        </is>
      </c>
      <c r="BM29" s="73" t="inlineStr">
        <is>
          <t>Angel</t>
        </is>
      </c>
      <c r="BN29" s="74" t="inlineStr">
        <is>
          <t/>
        </is>
      </c>
      <c r="BO29" s="75" t="inlineStr">
        <is>
          <t>Individual</t>
        </is>
      </c>
      <c r="BP29" s="76" t="inlineStr">
        <is>
          <t/>
        </is>
      </c>
      <c r="BQ29" s="77" t="inlineStr">
        <is>
          <t/>
        </is>
      </c>
      <c r="BR29" s="78" t="inlineStr">
        <is>
          <t/>
        </is>
      </c>
      <c r="BS29" s="79" t="inlineStr">
        <is>
          <t>Completed</t>
        </is>
      </c>
      <c r="BT29" s="80" t="n">
        <v>42997.0</v>
      </c>
      <c r="BU29" s="81" t="n">
        <v>40.0</v>
      </c>
      <c r="BV29" s="82" t="inlineStr">
        <is>
          <t>Actual</t>
        </is>
      </c>
      <c r="BW29" s="83" t="inlineStr">
        <is>
          <t/>
        </is>
      </c>
      <c r="BX29" s="84" t="inlineStr">
        <is>
          <t/>
        </is>
      </c>
      <c r="BY29" s="85" t="inlineStr">
        <is>
          <t>Later Stage VC</t>
        </is>
      </c>
      <c r="BZ29" s="86" t="inlineStr">
        <is>
          <t/>
        </is>
      </c>
      <c r="CA29" s="87" t="inlineStr">
        <is>
          <t/>
        </is>
      </c>
      <c r="CB29" s="88" t="inlineStr">
        <is>
          <t>Venture Capital</t>
        </is>
      </c>
      <c r="CC29" s="89" t="inlineStr">
        <is>
          <t/>
        </is>
      </c>
      <c r="CD29" s="90" t="inlineStr">
        <is>
          <t/>
        </is>
      </c>
      <c r="CE29" s="91" t="inlineStr">
        <is>
          <t/>
        </is>
      </c>
      <c r="CF29" s="92" t="inlineStr">
        <is>
          <t>Completed</t>
        </is>
      </c>
      <c r="CG29" s="93" t="inlineStr">
        <is>
          <t>-4,51%</t>
        </is>
      </c>
      <c r="CH29" s="94" t="inlineStr">
        <is>
          <t>4</t>
        </is>
      </c>
      <c r="CI29" s="95" t="inlineStr">
        <is>
          <t>-0,11%</t>
        </is>
      </c>
      <c r="CJ29" s="96" t="inlineStr">
        <is>
          <t>-2,44%</t>
        </is>
      </c>
      <c r="CK29" s="97" t="inlineStr">
        <is>
          <t>-14,55%</t>
        </is>
      </c>
      <c r="CL29" s="98" t="inlineStr">
        <is>
          <t>1</t>
        </is>
      </c>
      <c r="CM29" s="99" t="inlineStr">
        <is>
          <t>0,49%</t>
        </is>
      </c>
      <c r="CN29" s="100" t="inlineStr">
        <is>
          <t>88</t>
        </is>
      </c>
      <c r="CO29" s="101" t="inlineStr">
        <is>
          <t>-28,61%</t>
        </is>
      </c>
      <c r="CP29" s="102" t="inlineStr">
        <is>
          <t>1</t>
        </is>
      </c>
      <c r="CQ29" s="103" t="inlineStr">
        <is>
          <t>-0,48%</t>
        </is>
      </c>
      <c r="CR29" s="104" t="inlineStr">
        <is>
          <t>16</t>
        </is>
      </c>
      <c r="CS29" s="105" t="inlineStr">
        <is>
          <t>0,72%</t>
        </is>
      </c>
      <c r="CT29" s="106" t="inlineStr">
        <is>
          <t>92</t>
        </is>
      </c>
      <c r="CU29" s="107" t="inlineStr">
        <is>
          <t>0,25%</t>
        </is>
      </c>
      <c r="CV29" s="108" t="inlineStr">
        <is>
          <t>80</t>
        </is>
      </c>
      <c r="CW29" s="109" t="inlineStr">
        <is>
          <t>15,94x</t>
        </is>
      </c>
      <c r="CX29" s="110" t="inlineStr">
        <is>
          <t>91</t>
        </is>
      </c>
      <c r="CY29" s="111" t="inlineStr">
        <is>
          <t>-0,18x</t>
        </is>
      </c>
      <c r="CZ29" s="112" t="inlineStr">
        <is>
          <t>-1,13%</t>
        </is>
      </c>
      <c r="DA29" s="113" t="inlineStr">
        <is>
          <t>18,54x</t>
        </is>
      </c>
      <c r="DB29" s="114" t="inlineStr">
        <is>
          <t>94</t>
        </is>
      </c>
      <c r="DC29" s="115" t="inlineStr">
        <is>
          <t>28,61x</t>
        </is>
      </c>
      <c r="DD29" s="116" t="inlineStr">
        <is>
          <t>92</t>
        </is>
      </c>
      <c r="DE29" s="117" t="inlineStr">
        <is>
          <t>1,13x</t>
        </is>
      </c>
      <c r="DF29" s="118" t="inlineStr">
        <is>
          <t>53</t>
        </is>
      </c>
      <c r="DG29" s="119" t="inlineStr">
        <is>
          <t>35,94x</t>
        </is>
      </c>
      <c r="DH29" s="120" t="inlineStr">
        <is>
          <t>96</t>
        </is>
      </c>
      <c r="DI29" s="121" t="inlineStr">
        <is>
          <t>46,45x</t>
        </is>
      </c>
      <c r="DJ29" s="122" t="inlineStr">
        <is>
          <t>92</t>
        </is>
      </c>
      <c r="DK29" s="123" t="inlineStr">
        <is>
          <t>10,77x</t>
        </is>
      </c>
      <c r="DL29" s="124" t="inlineStr">
        <is>
          <t>88</t>
        </is>
      </c>
      <c r="DM29" s="125" t="inlineStr">
        <is>
          <t>415</t>
        </is>
      </c>
      <c r="DN29" s="126" t="inlineStr">
        <is>
          <t>15</t>
        </is>
      </c>
      <c r="DO29" s="127" t="inlineStr">
        <is>
          <t>3,75%</t>
        </is>
      </c>
      <c r="DP29" s="128" t="inlineStr">
        <is>
          <t>36.687</t>
        </is>
      </c>
      <c r="DQ29" s="129" t="inlineStr">
        <is>
          <t>278</t>
        </is>
      </c>
      <c r="DR29" s="130" t="inlineStr">
        <is>
          <t>0,76%</t>
        </is>
      </c>
      <c r="DS29" s="131" t="inlineStr">
        <is>
          <t>1.309</t>
        </is>
      </c>
      <c r="DT29" s="132" t="inlineStr">
        <is>
          <t>-24</t>
        </is>
      </c>
      <c r="DU29" s="133" t="inlineStr">
        <is>
          <t>-1,80%</t>
        </is>
      </c>
      <c r="DV29" s="134" t="inlineStr">
        <is>
          <t>4.018</t>
        </is>
      </c>
      <c r="DW29" s="135" t="inlineStr">
        <is>
          <t>11</t>
        </is>
      </c>
      <c r="DX29" s="136" t="inlineStr">
        <is>
          <t>0,27%</t>
        </is>
      </c>
      <c r="DY29" s="137" t="inlineStr">
        <is>
          <t>PitchBook Research</t>
        </is>
      </c>
      <c r="DZ29" s="785">
        <f>HYPERLINK("https://my.pitchbook.com?c=55306-99", "View company online")</f>
      </c>
    </row>
    <row r="30">
      <c r="A30" s="139" t="inlineStr">
        <is>
          <t>62992-09</t>
        </is>
      </c>
      <c r="B30" s="140" t="inlineStr">
        <is>
          <t>Doctolib</t>
        </is>
      </c>
      <c r="C30" s="141" t="inlineStr">
        <is>
          <t/>
        </is>
      </c>
      <c r="D30" s="142" t="inlineStr">
        <is>
          <t/>
        </is>
      </c>
      <c r="E30" s="143" t="inlineStr">
        <is>
          <t>62992-09</t>
        </is>
      </c>
      <c r="F30" s="144" t="inlineStr">
        <is>
          <t>Provider of an online healthcare platform designed for patients to choose doctors and make appointments. The company's online healthcare platform offers its subscription-based SaaS platform across France and Germany to medical practices or hospitals of varying sizes as well as patients, enabling doctors to manage their appointment bookings and communicate with patients, and patients can locate doctors and services and track their appointments.</t>
        </is>
      </c>
      <c r="G30" s="145" t="inlineStr">
        <is>
          <t>Information Technology</t>
        </is>
      </c>
      <c r="H30" s="146" t="inlineStr">
        <is>
          <t>Software</t>
        </is>
      </c>
      <c r="I30" s="147" t="inlineStr">
        <is>
          <t>Social/Platform Software</t>
        </is>
      </c>
      <c r="J30" s="148" t="inlineStr">
        <is>
          <t>Social/Platform Software*; Other Healthcare Technology Systems; Application Software</t>
        </is>
      </c>
      <c r="K30" s="149" t="inlineStr">
        <is>
          <t>HealthTech, Mobile, SaaS</t>
        </is>
      </c>
      <c r="L30" s="150" t="inlineStr">
        <is>
          <t>Venture Capital-Backed</t>
        </is>
      </c>
      <c r="M30" s="151" t="n">
        <v>86.03</v>
      </c>
      <c r="N30" s="152" t="inlineStr">
        <is>
          <t>Generating Revenue</t>
        </is>
      </c>
      <c r="O30" s="153" t="inlineStr">
        <is>
          <t>Privately Held (backing)</t>
        </is>
      </c>
      <c r="P30" s="154" t="inlineStr">
        <is>
          <t>Venture Capital</t>
        </is>
      </c>
      <c r="Q30" s="155" t="inlineStr">
        <is>
          <t>www.doctolib.fr</t>
        </is>
      </c>
      <c r="R30" s="156" t="n">
        <v>300.0</v>
      </c>
      <c r="S30" s="157" t="inlineStr">
        <is>
          <t/>
        </is>
      </c>
      <c r="T30" s="158" t="inlineStr">
        <is>
          <t/>
        </is>
      </c>
      <c r="U30" s="159" t="n">
        <v>2013.0</v>
      </c>
      <c r="V30" s="160" t="inlineStr">
        <is>
          <t/>
        </is>
      </c>
      <c r="W30" s="161" t="inlineStr">
        <is>
          <r>
            <rPr>
              <b/>
              <color rgb="ff26854d"/>
              <rFont val="Arial"/>
              <sz val="8.0"/>
            </rPr>
            <t>Promotion</t>
          </r>
          <r>
            <rPr>
              <color rgb="ff707070"/>
              <rFont val="Arial"/>
              <sz val="7.0"/>
            </rPr>
            <t xml:space="preserve"> NEW  </t>
          </r>
          <r>
            <rPr>
              <color rgb="ff000000"/>
              <rFont val="Arial"/>
              <sz val="8.0"/>
            </rPr>
            <t>Stanislas Niox-Chateau, Co-Founder, President, Chief Executive Officer &amp; Chairman</t>
          </r>
          <r>
            <rPr>
              <color rgb="ff000000"/>
              <rFont val="Arial"/>
              <sz val="8.0"/>
            </rPr>
            <t xml:space="preserve">
</t>
          </r>
          <r>
            <rPr>
              <b/>
              <color rgb="ff26854d"/>
              <rFont val="Arial"/>
              <sz val="8.0"/>
            </rPr>
            <t>News</t>
          </r>
          <r>
            <rPr>
              <color rgb="ff707070"/>
              <rFont val="Arial"/>
              <sz val="7.0"/>
            </rPr>
            <t xml:space="preserve"> NEW  </t>
          </r>
        </is>
      </c>
      <c r="X30" s="162" t="inlineStr">
        <is>
          <r>
            <rPr>
              <b/>
              <color rgb="ff26854d"/>
              <rFont val="Arial"/>
              <sz val="8.0"/>
            </rPr>
            <t>Deal</t>
          </r>
          <r>
            <rPr>
              <color rgb="ff707070"/>
              <rFont val="Arial"/>
              <sz val="7.0"/>
            </rPr>
            <t xml:space="preserve"> NEW  </t>
          </r>
          <r>
            <rPr>
              <color rgb="ff000000"/>
              <rFont val="Arial"/>
              <sz val="8.0"/>
            </rPr>
            <t>Later Stage VC, 2017</t>
          </r>
          <r>
            <rPr>
              <color rgb="ff707070"/>
              <rFont val="Arial"/>
              <sz val="7.0"/>
            </rPr>
            <t xml:space="preserve"> Completed</t>
          </r>
          <r>
            <rPr>
              <color rgb="ff000000"/>
              <rFont val="Arial"/>
              <sz val="8.0"/>
            </rPr>
            <t xml:space="preserve">
</t>
          </r>
          <r>
            <rPr>
              <b/>
              <color rgb="ff26854d"/>
              <rFont val="Arial"/>
              <sz val="8.0"/>
            </rPr>
            <t>Promotion</t>
          </r>
          <r>
            <rPr>
              <color rgb="ff707070"/>
              <rFont val="Arial"/>
              <sz val="7.0"/>
            </rPr>
            <t xml:space="preserve"> NEW  </t>
          </r>
          <r>
            <rPr>
              <color rgb="ff000000"/>
              <rFont val="Arial"/>
              <sz val="8.0"/>
            </rPr>
            <t>Stanislas Niox-Chateau, Co-Founder, President, Chief Executive Officer &amp; Chairman</t>
          </r>
          <r>
            <rPr>
              <color rgb="ff000000"/>
              <rFont val="Arial"/>
              <sz val="8.0"/>
            </rPr>
            <t xml:space="preserve">
</t>
          </r>
          <r>
            <rPr>
              <b/>
              <color rgb="ff26854d"/>
              <rFont val="Arial"/>
              <sz val="8.0"/>
            </rPr>
            <t>News</t>
          </r>
          <r>
            <rPr>
              <color rgb="ff707070"/>
              <rFont val="Arial"/>
              <sz val="7.0"/>
            </rPr>
            <t xml:space="preserve"> NEW  </t>
          </r>
        </is>
      </c>
      <c r="Y30" s="163" t="inlineStr">
        <is>
          <t/>
        </is>
      </c>
      <c r="Z30" s="164" t="inlineStr">
        <is>
          <t/>
        </is>
      </c>
      <c r="AA30" s="165" t="inlineStr">
        <is>
          <t/>
        </is>
      </c>
      <c r="AB30" s="166" t="inlineStr">
        <is>
          <t/>
        </is>
      </c>
      <c r="AC30" s="167" t="inlineStr">
        <is>
          <t/>
        </is>
      </c>
      <c r="AD30" s="168" t="inlineStr">
        <is>
          <t/>
        </is>
      </c>
      <c r="AE30" s="169" t="inlineStr">
        <is>
          <t>52725-25P</t>
        </is>
      </c>
      <c r="AF30" s="170" t="inlineStr">
        <is>
          <t>Stanislas Niox-Chateau</t>
        </is>
      </c>
      <c r="AG30" s="171" t="inlineStr">
        <is>
          <t>Co-Founder, President, Chief Executive Officer &amp; Chairman</t>
        </is>
      </c>
      <c r="AH30" s="172" t="inlineStr">
        <is>
          <t>stanislas@doctolib.fr</t>
        </is>
      </c>
      <c r="AI30" s="173" t="inlineStr">
        <is>
          <t>+33 (0)1 83 35 53 58</t>
        </is>
      </c>
      <c r="AJ30" s="174" t="inlineStr">
        <is>
          <t>Paris, France</t>
        </is>
      </c>
      <c r="AK30" s="175" t="inlineStr">
        <is>
          <t>32 rue de Monceau</t>
        </is>
      </c>
      <c r="AL30" s="176" t="inlineStr">
        <is>
          <t/>
        </is>
      </c>
      <c r="AM30" s="177" t="inlineStr">
        <is>
          <t>Paris</t>
        </is>
      </c>
      <c r="AN30" s="178" t="inlineStr">
        <is>
          <t/>
        </is>
      </c>
      <c r="AO30" s="179" t="inlineStr">
        <is>
          <t>75008</t>
        </is>
      </c>
      <c r="AP30" s="180" t="inlineStr">
        <is>
          <t>France</t>
        </is>
      </c>
      <c r="AQ30" s="181" t="inlineStr">
        <is>
          <t>+33 (0)1 83 35 53 58</t>
        </is>
      </c>
      <c r="AR30" s="182" t="inlineStr">
        <is>
          <t/>
        </is>
      </c>
      <c r="AS30" s="183" t="inlineStr">
        <is>
          <t/>
        </is>
      </c>
      <c r="AT30" s="184" t="inlineStr">
        <is>
          <t>Europe</t>
        </is>
      </c>
      <c r="AU30" s="185" t="inlineStr">
        <is>
          <t>Western Europe</t>
        </is>
      </c>
      <c r="AV30" s="186" t="inlineStr">
        <is>
          <t>The company raised EUR 35 million of venture funding from Eurazeo and Bpifrance on November 27, 2017. The company intends to use the funds to expand its business reach and hire new people. Earlier, the company raised EUR 26 million of Series C venture funding in a deal led by Bpifrance on January 25, 2017. Accel Partners, Nicolas Brusson, Pierre Kosciusko-Moziret and Ludwig Klitzsch also participated in the round.</t>
        </is>
      </c>
      <c r="AW30" s="187" t="inlineStr">
        <is>
          <t>Accel, Agoranov, Bpifrance, Eurazeo, Kerala Ventures, Ludwig Klitzsch, Maxime Forgeot, Pierre Kosciusko Morizet</t>
        </is>
      </c>
      <c r="AX30" s="188" t="n">
        <v>8.0</v>
      </c>
      <c r="AY30" s="189" t="inlineStr">
        <is>
          <t/>
        </is>
      </c>
      <c r="AZ30" s="190" t="inlineStr">
        <is>
          <t/>
        </is>
      </c>
      <c r="BA30" s="191" t="inlineStr">
        <is>
          <t/>
        </is>
      </c>
      <c r="BB30" s="192" t="inlineStr">
        <is>
          <t>Accel (www.accel.com), Agoranov (www.agoranov.com), Bpifrance (www.bpifrance.fr), Eurazeo (www.eurazeo.com), Kerala Ventures (www.krlventures.com)</t>
        </is>
      </c>
      <c r="BC30" s="193" t="inlineStr">
        <is>
          <t/>
        </is>
      </c>
      <c r="BD30" s="194" t="inlineStr">
        <is>
          <t/>
        </is>
      </c>
      <c r="BE30" s="195" t="inlineStr">
        <is>
          <t>Dechert (Legal Advisor), Gide Loyrette Nouel (Legal Advisor)</t>
        </is>
      </c>
      <c r="BF30" s="196" t="inlineStr">
        <is>
          <t>Gide Loyrette Nouel (Legal Advisor)</t>
        </is>
      </c>
      <c r="BG30" s="197" t="n">
        <v>41674.0</v>
      </c>
      <c r="BH30" s="198" t="n">
        <v>1.03</v>
      </c>
      <c r="BI30" s="199" t="inlineStr">
        <is>
          <t>Actual</t>
        </is>
      </c>
      <c r="BJ30" s="200" t="inlineStr">
        <is>
          <t/>
        </is>
      </c>
      <c r="BK30" s="201" t="inlineStr">
        <is>
          <t/>
        </is>
      </c>
      <c r="BL30" s="202" t="inlineStr">
        <is>
          <t>Early Stage VC</t>
        </is>
      </c>
      <c r="BM30" s="203" t="inlineStr">
        <is>
          <t/>
        </is>
      </c>
      <c r="BN30" s="204" t="inlineStr">
        <is>
          <t/>
        </is>
      </c>
      <c r="BO30" s="205" t="inlineStr">
        <is>
          <t>Venture Capital</t>
        </is>
      </c>
      <c r="BP30" s="206" t="inlineStr">
        <is>
          <t/>
        </is>
      </c>
      <c r="BQ30" s="207" t="inlineStr">
        <is>
          <t/>
        </is>
      </c>
      <c r="BR30" s="208" t="inlineStr">
        <is>
          <t/>
        </is>
      </c>
      <c r="BS30" s="209" t="inlineStr">
        <is>
          <t>Completed</t>
        </is>
      </c>
      <c r="BT30" s="210" t="n">
        <v>43066.0</v>
      </c>
      <c r="BU30" s="211" t="n">
        <v>35.0</v>
      </c>
      <c r="BV30" s="212" t="inlineStr">
        <is>
          <t>Actual</t>
        </is>
      </c>
      <c r="BW30" s="213" t="inlineStr">
        <is>
          <t/>
        </is>
      </c>
      <c r="BX30" s="214" t="inlineStr">
        <is>
          <t/>
        </is>
      </c>
      <c r="BY30" s="215" t="inlineStr">
        <is>
          <t>Later Stage VC</t>
        </is>
      </c>
      <c r="BZ30" s="216" t="inlineStr">
        <is>
          <t/>
        </is>
      </c>
      <c r="CA30" s="217" t="inlineStr">
        <is>
          <t/>
        </is>
      </c>
      <c r="CB30" s="218" t="inlineStr">
        <is>
          <t>Venture Capital</t>
        </is>
      </c>
      <c r="CC30" s="219" t="inlineStr">
        <is>
          <t/>
        </is>
      </c>
      <c r="CD30" s="220" t="inlineStr">
        <is>
          <t/>
        </is>
      </c>
      <c r="CE30" s="221" t="inlineStr">
        <is>
          <t/>
        </is>
      </c>
      <c r="CF30" s="222" t="inlineStr">
        <is>
          <t>Completed</t>
        </is>
      </c>
      <c r="CG30" s="223" t="inlineStr">
        <is>
          <t>-7,85%</t>
        </is>
      </c>
      <c r="CH30" s="224" t="inlineStr">
        <is>
          <t>2</t>
        </is>
      </c>
      <c r="CI30" s="225" t="inlineStr">
        <is>
          <t>-0,02%</t>
        </is>
      </c>
      <c r="CJ30" s="226" t="inlineStr">
        <is>
          <t>-0,24%</t>
        </is>
      </c>
      <c r="CK30" s="227" t="inlineStr">
        <is>
          <t>-16,26%</t>
        </is>
      </c>
      <c r="CL30" s="228" t="inlineStr">
        <is>
          <t>1</t>
        </is>
      </c>
      <c r="CM30" s="229" t="inlineStr">
        <is>
          <t>0,57%</t>
        </is>
      </c>
      <c r="CN30" s="230" t="inlineStr">
        <is>
          <t>91</t>
        </is>
      </c>
      <c r="CO30" s="231" t="inlineStr">
        <is>
          <t>-32,34%</t>
        </is>
      </c>
      <c r="CP30" s="232" t="inlineStr">
        <is>
          <t>1</t>
        </is>
      </c>
      <c r="CQ30" s="233" t="inlineStr">
        <is>
          <t>-0,19%</t>
        </is>
      </c>
      <c r="CR30" s="234" t="inlineStr">
        <is>
          <t>19</t>
        </is>
      </c>
      <c r="CS30" s="235" t="inlineStr">
        <is>
          <t>0,49%</t>
        </is>
      </c>
      <c r="CT30" s="236" t="inlineStr">
        <is>
          <t>87</t>
        </is>
      </c>
      <c r="CU30" s="237" t="inlineStr">
        <is>
          <t>0,65%</t>
        </is>
      </c>
      <c r="CV30" s="238" t="inlineStr">
        <is>
          <t>94</t>
        </is>
      </c>
      <c r="CW30" s="239" t="inlineStr">
        <is>
          <t>35,90x</t>
        </is>
      </c>
      <c r="CX30" s="240" t="inlineStr">
        <is>
          <t>95</t>
        </is>
      </c>
      <c r="CY30" s="241" t="inlineStr">
        <is>
          <t>-0,10x</t>
        </is>
      </c>
      <c r="CZ30" s="242" t="inlineStr">
        <is>
          <t>-0,27%</t>
        </is>
      </c>
      <c r="DA30" s="243" t="inlineStr">
        <is>
          <t>55,57x</t>
        </is>
      </c>
      <c r="DB30" s="244" t="inlineStr">
        <is>
          <t>98</t>
        </is>
      </c>
      <c r="DC30" s="245" t="inlineStr">
        <is>
          <t>16,24x</t>
        </is>
      </c>
      <c r="DD30" s="246" t="inlineStr">
        <is>
          <t>88</t>
        </is>
      </c>
      <c r="DE30" s="247" t="inlineStr">
        <is>
          <t>7,27x</t>
        </is>
      </c>
      <c r="DF30" s="248" t="inlineStr">
        <is>
          <t>85</t>
        </is>
      </c>
      <c r="DG30" s="249" t="inlineStr">
        <is>
          <t>103,86x</t>
        </is>
      </c>
      <c r="DH30" s="250" t="inlineStr">
        <is>
          <t>99</t>
        </is>
      </c>
      <c r="DI30" s="251" t="inlineStr">
        <is>
          <t>18,68x</t>
        </is>
      </c>
      <c r="DJ30" s="252" t="inlineStr">
        <is>
          <t>87</t>
        </is>
      </c>
      <c r="DK30" s="253" t="inlineStr">
        <is>
          <t>13,79x</t>
        </is>
      </c>
      <c r="DL30" s="254" t="inlineStr">
        <is>
          <t>90</t>
        </is>
      </c>
      <c r="DM30" s="255" t="inlineStr">
        <is>
          <t>2.723</t>
        </is>
      </c>
      <c r="DN30" s="256" t="inlineStr">
        <is>
          <t>-129</t>
        </is>
      </c>
      <c r="DO30" s="257" t="inlineStr">
        <is>
          <t>-4,52%</t>
        </is>
      </c>
      <c r="DP30" s="258" t="inlineStr">
        <is>
          <t>14.772</t>
        </is>
      </c>
      <c r="DQ30" s="259" t="inlineStr">
        <is>
          <t>80</t>
        </is>
      </c>
      <c r="DR30" s="260" t="inlineStr">
        <is>
          <t>0,54%</t>
        </is>
      </c>
      <c r="DS30" s="261" t="inlineStr">
        <is>
          <t>3.742</t>
        </is>
      </c>
      <c r="DT30" s="262" t="inlineStr">
        <is>
          <t>-7</t>
        </is>
      </c>
      <c r="DU30" s="263" t="inlineStr">
        <is>
          <t>-0,19%</t>
        </is>
      </c>
      <c r="DV30" s="264" t="inlineStr">
        <is>
          <t>5.152</t>
        </is>
      </c>
      <c r="DW30" s="265" t="inlineStr">
        <is>
          <t>7</t>
        </is>
      </c>
      <c r="DX30" s="266" t="inlineStr">
        <is>
          <t>0,14%</t>
        </is>
      </c>
      <c r="DY30" s="267" t="inlineStr">
        <is>
          <t>PitchBook Research</t>
        </is>
      </c>
      <c r="DZ30" s="786">
        <f>HYPERLINK("https://my.pitchbook.com?c=62992-09", "View company online")</f>
      </c>
    </row>
    <row r="31">
      <c r="A31" s="9" t="inlineStr">
        <is>
          <t>104056-21</t>
        </is>
      </c>
      <c r="B31" s="10" t="inlineStr">
        <is>
          <t>Grupa Pracuj</t>
        </is>
      </c>
      <c r="C31" s="11" t="inlineStr">
        <is>
          <t/>
        </is>
      </c>
      <c r="D31" s="12" t="inlineStr">
        <is>
          <t/>
        </is>
      </c>
      <c r="E31" s="13" t="inlineStr">
        <is>
          <t>104056-21</t>
        </is>
      </c>
      <c r="F31" s="14" t="inlineStr">
        <is>
          <t>Provider of SaaS products and HR services intended to help organizations in the processes of employee recruitment, retainment and development. The company's services include eRecruiter, an ATS (applicant tracking system),which has been supporting companies in conducting effective recruitment, and the emplo.com platform, which supports communication and HR processes in companies, enabling employees to find better jobs and use their professional potential.</t>
        </is>
      </c>
      <c r="G31" s="15" t="inlineStr">
        <is>
          <t>Business Products and Services (B2B)</t>
        </is>
      </c>
      <c r="H31" s="16" t="inlineStr">
        <is>
          <t>Commercial Services</t>
        </is>
      </c>
      <c r="I31" s="17" t="inlineStr">
        <is>
          <t>Human Capital Services</t>
        </is>
      </c>
      <c r="J31" s="18" t="inlineStr">
        <is>
          <t>Human Capital Services*; Network Management Software; Social/Platform Software</t>
        </is>
      </c>
      <c r="K31" s="19" t="inlineStr">
        <is>
          <t>SaaS</t>
        </is>
      </c>
      <c r="L31" s="20" t="inlineStr">
        <is>
          <t>Venture Capital-Backed</t>
        </is>
      </c>
      <c r="M31" s="21" t="n">
        <v>80.43</v>
      </c>
      <c r="N31" s="22" t="inlineStr">
        <is>
          <t>Generating Revenue</t>
        </is>
      </c>
      <c r="O31" s="23" t="inlineStr">
        <is>
          <t>Privately Held (backing)</t>
        </is>
      </c>
      <c r="P31" s="24" t="inlineStr">
        <is>
          <t>Venture Capital</t>
        </is>
      </c>
      <c r="Q31" s="25" t="inlineStr">
        <is>
          <t>www.grupapracuj.pl</t>
        </is>
      </c>
      <c r="R31" s="26" t="n">
        <v>700.0</v>
      </c>
      <c r="S31" s="27" t="inlineStr">
        <is>
          <t/>
        </is>
      </c>
      <c r="T31" s="28" t="inlineStr">
        <is>
          <t/>
        </is>
      </c>
      <c r="U31" s="29" t="n">
        <v>2000.0</v>
      </c>
      <c r="V31" s="30" t="inlineStr">
        <is>
          <t/>
        </is>
      </c>
      <c r="W31" s="31" t="inlineStr">
        <is>
          <t/>
        </is>
      </c>
      <c r="X31" s="32" t="inlineStr">
        <is>
          <t/>
        </is>
      </c>
      <c r="Y31" s="33" t="inlineStr">
        <is>
          <t/>
        </is>
      </c>
      <c r="Z31" s="34" t="inlineStr">
        <is>
          <t/>
        </is>
      </c>
      <c r="AA31" s="35" t="inlineStr">
        <is>
          <t/>
        </is>
      </c>
      <c r="AB31" s="36" t="inlineStr">
        <is>
          <t/>
        </is>
      </c>
      <c r="AC31" s="37" t="inlineStr">
        <is>
          <t/>
        </is>
      </c>
      <c r="AD31" s="38" t="inlineStr">
        <is>
          <t/>
        </is>
      </c>
      <c r="AE31" s="39" t="inlineStr">
        <is>
          <t>138829-87P</t>
        </is>
      </c>
      <c r="AF31" s="40" t="inlineStr">
        <is>
          <t>Maciej Noga</t>
        </is>
      </c>
      <c r="AG31" s="41" t="inlineStr">
        <is>
          <t>Co-Founder &amp; Chief Investment &amp; Strategic Growth Officer</t>
        </is>
      </c>
      <c r="AH31" s="42" t="inlineStr">
        <is>
          <t>maciej.noga@ataraxyventures.com</t>
        </is>
      </c>
      <c r="AI31" s="43" t="inlineStr">
        <is>
          <t/>
        </is>
      </c>
      <c r="AJ31" s="44" t="inlineStr">
        <is>
          <t>Warsaw, Poland</t>
        </is>
      </c>
      <c r="AK31" s="45" t="inlineStr">
        <is>
          <t>Ul. Prosta 68</t>
        </is>
      </c>
      <c r="AL31" s="46" t="inlineStr">
        <is>
          <t/>
        </is>
      </c>
      <c r="AM31" s="47" t="inlineStr">
        <is>
          <t>Warsaw</t>
        </is>
      </c>
      <c r="AN31" s="48" t="inlineStr">
        <is>
          <t/>
        </is>
      </c>
      <c r="AO31" s="49" t="inlineStr">
        <is>
          <t>00-838</t>
        </is>
      </c>
      <c r="AP31" s="50" t="inlineStr">
        <is>
          <t>Poland</t>
        </is>
      </c>
      <c r="AQ31" s="51" t="inlineStr">
        <is>
          <t>+48 22 373 7300</t>
        </is>
      </c>
      <c r="AR31" s="52" t="inlineStr">
        <is>
          <t>+48 22 373 7301</t>
        </is>
      </c>
      <c r="AS31" s="53" t="inlineStr">
        <is>
          <t>biuro@pracuj.pl</t>
        </is>
      </c>
      <c r="AT31" s="54" t="inlineStr">
        <is>
          <t>Europe</t>
        </is>
      </c>
      <c r="AU31" s="55" t="inlineStr">
        <is>
          <t>Eastern Europe</t>
        </is>
      </c>
      <c r="AV31" s="56" t="inlineStr">
        <is>
          <t>The company raised $95 million of venture funding from Technology Crossover Ventures on August 14, 2017. The funds will be used to accelerate international expansion and expand its product suite.</t>
        </is>
      </c>
      <c r="AW31" s="57" t="inlineStr">
        <is>
          <t>Technology Crossover Ventures</t>
        </is>
      </c>
      <c r="AX31" s="58" t="n">
        <v>1.0</v>
      </c>
      <c r="AY31" s="59" t="inlineStr">
        <is>
          <t/>
        </is>
      </c>
      <c r="AZ31" s="60" t="inlineStr">
        <is>
          <t/>
        </is>
      </c>
      <c r="BA31" s="61" t="inlineStr">
        <is>
          <t/>
        </is>
      </c>
      <c r="BB31" s="62" t="inlineStr">
        <is>
          <t>Technology Crossover Ventures (www.tcv.com)</t>
        </is>
      </c>
      <c r="BC31" s="63" t="inlineStr">
        <is>
          <t/>
        </is>
      </c>
      <c r="BD31" s="64" t="inlineStr">
        <is>
          <t/>
        </is>
      </c>
      <c r="BE31" s="65" t="inlineStr">
        <is>
          <t/>
        </is>
      </c>
      <c r="BF31" s="66" t="inlineStr">
        <is>
          <t>Greenberg Traurig (Legal Advisor), GCA Advisors (Advisor: General), Trigon Capital (Advisor: General)</t>
        </is>
      </c>
      <c r="BG31" s="67" t="n">
        <v>42961.0</v>
      </c>
      <c r="BH31" s="68" t="n">
        <v>80.43</v>
      </c>
      <c r="BI31" s="69" t="inlineStr">
        <is>
          <t>Actual</t>
        </is>
      </c>
      <c r="BJ31" s="70" t="inlineStr">
        <is>
          <t/>
        </is>
      </c>
      <c r="BK31" s="71" t="inlineStr">
        <is>
          <t/>
        </is>
      </c>
      <c r="BL31" s="72" t="inlineStr">
        <is>
          <t>Later Stage VC</t>
        </is>
      </c>
      <c r="BM31" s="73" t="inlineStr">
        <is>
          <t/>
        </is>
      </c>
      <c r="BN31" s="74" t="inlineStr">
        <is>
          <t/>
        </is>
      </c>
      <c r="BO31" s="75" t="inlineStr">
        <is>
          <t>Venture Capital</t>
        </is>
      </c>
      <c r="BP31" s="76" t="inlineStr">
        <is>
          <t/>
        </is>
      </c>
      <c r="BQ31" s="77" t="inlineStr">
        <is>
          <t/>
        </is>
      </c>
      <c r="BR31" s="78" t="inlineStr">
        <is>
          <t/>
        </is>
      </c>
      <c r="BS31" s="79" t="inlineStr">
        <is>
          <t>Completed</t>
        </is>
      </c>
      <c r="BT31" s="80" t="n">
        <v>42961.0</v>
      </c>
      <c r="BU31" s="81" t="n">
        <v>80.43</v>
      </c>
      <c r="BV31" s="82" t="inlineStr">
        <is>
          <t>Actual</t>
        </is>
      </c>
      <c r="BW31" s="83" t="inlineStr">
        <is>
          <t/>
        </is>
      </c>
      <c r="BX31" s="84" t="inlineStr">
        <is>
          <t/>
        </is>
      </c>
      <c r="BY31" s="85" t="inlineStr">
        <is>
          <t>Later Stage VC</t>
        </is>
      </c>
      <c r="BZ31" s="86" t="inlineStr">
        <is>
          <t/>
        </is>
      </c>
      <c r="CA31" s="87" t="inlineStr">
        <is>
          <t/>
        </is>
      </c>
      <c r="CB31" s="88" t="inlineStr">
        <is>
          <t>Venture Capital</t>
        </is>
      </c>
      <c r="CC31" s="89" t="inlineStr">
        <is>
          <t/>
        </is>
      </c>
      <c r="CD31" s="90" t="inlineStr">
        <is>
          <t/>
        </is>
      </c>
      <c r="CE31" s="91" t="inlineStr">
        <is>
          <t/>
        </is>
      </c>
      <c r="CF31" s="92" t="inlineStr">
        <is>
          <t>Completed</t>
        </is>
      </c>
      <c r="CG31" s="93" t="inlineStr">
        <is>
          <t>-0,27%</t>
        </is>
      </c>
      <c r="CH31" s="94" t="inlineStr">
        <is>
          <t>22</t>
        </is>
      </c>
      <c r="CI31" s="95" t="inlineStr">
        <is>
          <t>-0,01%</t>
        </is>
      </c>
      <c r="CJ31" s="96" t="inlineStr">
        <is>
          <t>-2,76%</t>
        </is>
      </c>
      <c r="CK31" s="97" t="inlineStr">
        <is>
          <t>-0,71%</t>
        </is>
      </c>
      <c r="CL31" s="98" t="inlineStr">
        <is>
          <t>22</t>
        </is>
      </c>
      <c r="CM31" s="99" t="inlineStr">
        <is>
          <t>0,17%</t>
        </is>
      </c>
      <c r="CN31" s="100" t="inlineStr">
        <is>
          <t>68</t>
        </is>
      </c>
      <c r="CO31" s="101" t="inlineStr">
        <is>
          <t>-1,41%</t>
        </is>
      </c>
      <c r="CP31" s="102" t="inlineStr">
        <is>
          <t>32</t>
        </is>
      </c>
      <c r="CQ31" s="103" t="inlineStr">
        <is>
          <t>0,00%</t>
        </is>
      </c>
      <c r="CR31" s="104" t="inlineStr">
        <is>
          <t>20</t>
        </is>
      </c>
      <c r="CS31" s="105" t="inlineStr">
        <is>
          <t>0,17%</t>
        </is>
      </c>
      <c r="CT31" s="106" t="inlineStr">
        <is>
          <t>66</t>
        </is>
      </c>
      <c r="CU31" s="107" t="inlineStr">
        <is>
          <t/>
        </is>
      </c>
      <c r="CV31" s="108" t="inlineStr">
        <is>
          <t/>
        </is>
      </c>
      <c r="CW31" s="109" t="inlineStr">
        <is>
          <t>10,15x</t>
        </is>
      </c>
      <c r="CX31" s="110" t="inlineStr">
        <is>
          <t>88</t>
        </is>
      </c>
      <c r="CY31" s="111" t="inlineStr">
        <is>
          <t>-0,05x</t>
        </is>
      </c>
      <c r="CZ31" s="112" t="inlineStr">
        <is>
          <t>-0,49%</t>
        </is>
      </c>
      <c r="DA31" s="113" t="inlineStr">
        <is>
          <t>11,23x</t>
        </is>
      </c>
      <c r="DB31" s="114" t="inlineStr">
        <is>
          <t>90</t>
        </is>
      </c>
      <c r="DC31" s="115" t="inlineStr">
        <is>
          <t>9,08x</t>
        </is>
      </c>
      <c r="DD31" s="116" t="inlineStr">
        <is>
          <t>83</t>
        </is>
      </c>
      <c r="DE31" s="117" t="inlineStr">
        <is>
          <t>20,87x</t>
        </is>
      </c>
      <c r="DF31" s="118" t="inlineStr">
        <is>
          <t>93</t>
        </is>
      </c>
      <c r="DG31" s="119" t="inlineStr">
        <is>
          <t>1,58x</t>
        </is>
      </c>
      <c r="DH31" s="120" t="inlineStr">
        <is>
          <t>60</t>
        </is>
      </c>
      <c r="DI31" s="121" t="inlineStr">
        <is>
          <t>9,08x</t>
        </is>
      </c>
      <c r="DJ31" s="122" t="inlineStr">
        <is>
          <t>81</t>
        </is>
      </c>
      <c r="DK31" s="123" t="inlineStr">
        <is>
          <t/>
        </is>
      </c>
      <c r="DL31" s="124" t="inlineStr">
        <is>
          <t/>
        </is>
      </c>
      <c r="DM31" s="125" t="inlineStr">
        <is>
          <t>7.933</t>
        </is>
      </c>
      <c r="DN31" s="126" t="inlineStr">
        <is>
          <t>-572</t>
        </is>
      </c>
      <c r="DO31" s="127" t="inlineStr">
        <is>
          <t>-6,73%</t>
        </is>
      </c>
      <c r="DP31" s="128" t="inlineStr">
        <is>
          <t>7.188</t>
        </is>
      </c>
      <c r="DQ31" s="129" t="inlineStr">
        <is>
          <t>7</t>
        </is>
      </c>
      <c r="DR31" s="130" t="inlineStr">
        <is>
          <t>0,10%</t>
        </is>
      </c>
      <c r="DS31" s="131" t="inlineStr">
        <is>
          <t>58</t>
        </is>
      </c>
      <c r="DT31" s="132" t="inlineStr">
        <is>
          <t>-2</t>
        </is>
      </c>
      <c r="DU31" s="133" t="inlineStr">
        <is>
          <t>-3,33%</t>
        </is>
      </c>
      <c r="DV31" s="134" t="inlineStr">
        <is>
          <t/>
        </is>
      </c>
      <c r="DW31" s="135" t="inlineStr">
        <is>
          <t/>
        </is>
      </c>
      <c r="DX31" s="136" t="inlineStr">
        <is>
          <t/>
        </is>
      </c>
      <c r="DY31" s="137" t="inlineStr">
        <is>
          <t>PitchBook Research</t>
        </is>
      </c>
      <c r="DZ31" s="785">
        <f>HYPERLINK("https://my.pitchbook.com?c=104056-21", "View company online")</f>
      </c>
    </row>
    <row r="32">
      <c r="A32" s="139" t="inlineStr">
        <is>
          <t>94096-90</t>
        </is>
      </c>
      <c r="B32" s="140" t="inlineStr">
        <is>
          <t>ManoMano</t>
        </is>
      </c>
      <c r="C32" s="141" t="inlineStr">
        <is>
          <t>monEchelle.fr</t>
        </is>
      </c>
      <c r="D32" s="142" t="inlineStr">
        <is>
          <t/>
        </is>
      </c>
      <c r="E32" s="143" t="inlineStr">
        <is>
          <t>94096-90</t>
        </is>
      </c>
      <c r="F32" s="144" t="inlineStr">
        <is>
          <t>Operator of an online marketplace for DIY and gardening products intended to connect people directly to home improvement and gardening merchants. The company's platform combines a user-centric ethos with a data-led approach and offers DIY, home improvement and gardening products, enabling customers to buy these products online directly from its network of merchants at affordable prices.</t>
        </is>
      </c>
      <c r="G32" s="145" t="inlineStr">
        <is>
          <t>Business Products and Services (B2B)</t>
        </is>
      </c>
      <c r="H32" s="146" t="inlineStr">
        <is>
          <t>Commercial Products</t>
        </is>
      </c>
      <c r="I32" s="147" t="inlineStr">
        <is>
          <t>Distributors/Wholesale</t>
        </is>
      </c>
      <c r="J32" s="148" t="inlineStr">
        <is>
          <t>Distributors/Wholesale*; Media and Information Services (B2B); Other Consumer Durables; Internet Retail; Social/Platform Software</t>
        </is>
      </c>
      <c r="K32" s="149" t="inlineStr">
        <is>
          <t>E-Commerce</t>
        </is>
      </c>
      <c r="L32" s="150" t="inlineStr">
        <is>
          <t>Venture Capital-Backed</t>
        </is>
      </c>
      <c r="M32" s="151" t="n">
        <v>75.45</v>
      </c>
      <c r="N32" s="152" t="inlineStr">
        <is>
          <t>Profitable</t>
        </is>
      </c>
      <c r="O32" s="153" t="inlineStr">
        <is>
          <t>Privately Held (backing)</t>
        </is>
      </c>
      <c r="P32" s="154" t="inlineStr">
        <is>
          <t>Venture Capital</t>
        </is>
      </c>
      <c r="Q32" s="155" t="inlineStr">
        <is>
          <t>www.manomano.fr</t>
        </is>
      </c>
      <c r="R32" s="156" t="n">
        <v>145.0</v>
      </c>
      <c r="S32" s="157" t="inlineStr">
        <is>
          <t/>
        </is>
      </c>
      <c r="T32" s="158" t="inlineStr">
        <is>
          <t/>
        </is>
      </c>
      <c r="U32" s="159" t="n">
        <v>2012.0</v>
      </c>
      <c r="V32" s="160" t="inlineStr">
        <is>
          <t/>
        </is>
      </c>
      <c r="W32" s="161" t="inlineStr">
        <is>
          <t/>
        </is>
      </c>
      <c r="X32" s="162" t="inlineStr">
        <is>
          <t/>
        </is>
      </c>
      <c r="Y32" s="163" t="n">
        <v>237.46265</v>
      </c>
      <c r="Z32" s="164" t="inlineStr">
        <is>
          <t/>
        </is>
      </c>
      <c r="AA32" s="165" t="inlineStr">
        <is>
          <t/>
        </is>
      </c>
      <c r="AB32" s="166" t="inlineStr">
        <is>
          <t/>
        </is>
      </c>
      <c r="AC32" s="167" t="inlineStr">
        <is>
          <t/>
        </is>
      </c>
      <c r="AD32" s="168" t="inlineStr">
        <is>
          <t>FY 2017</t>
        </is>
      </c>
      <c r="AE32" s="169" t="inlineStr">
        <is>
          <t>106724-53P</t>
        </is>
      </c>
      <c r="AF32" s="170" t="inlineStr">
        <is>
          <t>Philippe Chanville</t>
        </is>
      </c>
      <c r="AG32" s="171" t="inlineStr">
        <is>
          <t>Co-Founder</t>
        </is>
      </c>
      <c r="AH32" s="172" t="inlineStr">
        <is>
          <t/>
        </is>
      </c>
      <c r="AI32" s="173" t="inlineStr">
        <is>
          <t/>
        </is>
      </c>
      <c r="AJ32" s="174" t="inlineStr">
        <is>
          <t>Paris, France</t>
        </is>
      </c>
      <c r="AK32" s="175" t="inlineStr">
        <is>
          <t>15 Avenue de la Grande Armée</t>
        </is>
      </c>
      <c r="AL32" s="176" t="inlineStr">
        <is>
          <t/>
        </is>
      </c>
      <c r="AM32" s="177" t="inlineStr">
        <is>
          <t>Paris</t>
        </is>
      </c>
      <c r="AN32" s="178" t="inlineStr">
        <is>
          <t/>
        </is>
      </c>
      <c r="AO32" s="179" t="inlineStr">
        <is>
          <t>75116</t>
        </is>
      </c>
      <c r="AP32" s="180" t="inlineStr">
        <is>
          <t>France</t>
        </is>
      </c>
      <c r="AQ32" s="181" t="inlineStr">
        <is>
          <t/>
        </is>
      </c>
      <c r="AR32" s="182" t="inlineStr">
        <is>
          <t/>
        </is>
      </c>
      <c r="AS32" s="183" t="inlineStr">
        <is>
          <t>contact@monechelle.com</t>
        </is>
      </c>
      <c r="AT32" s="184" t="inlineStr">
        <is>
          <t>Europe</t>
        </is>
      </c>
      <c r="AU32" s="185" t="inlineStr">
        <is>
          <t>Western Europe</t>
        </is>
      </c>
      <c r="AV32" s="186" t="inlineStr">
        <is>
          <t>The company raised EUR 60 million of Series C venture funding in a deal led by General Atlantic on September 11, 2017. Piton Capital, Partech Ventures and Bpifrance also participated in the round. The company intends to use the funds to continue to drive innovation and product development, increase the size of the IT and data teams, improve marketing, fund new commercial and logistics services and reinforce its presence across Europe.</t>
        </is>
      </c>
      <c r="AW32" s="187" t="inlineStr">
        <is>
          <t>Bpifrance, CM-CIC Capital Privé, General Atlantic, Partech Ventures, Piton Capital</t>
        </is>
      </c>
      <c r="AX32" s="188" t="n">
        <v>5.0</v>
      </c>
      <c r="AY32" s="189" t="inlineStr">
        <is>
          <t/>
        </is>
      </c>
      <c r="AZ32" s="190" t="inlineStr">
        <is>
          <t/>
        </is>
      </c>
      <c r="BA32" s="191" t="inlineStr">
        <is>
          <t/>
        </is>
      </c>
      <c r="BB32" s="192" t="inlineStr">
        <is>
          <t>Bpifrance (www.bpifrance.fr), CM-CIC Capital Privé (www.cmciccapitalprive.com), General Atlantic (www.generalatlantic.com), Partech Ventures (www.partechventures.com), Piton Capital (www.pitoncap.com)</t>
        </is>
      </c>
      <c r="BC32" s="193" t="inlineStr">
        <is>
          <t/>
        </is>
      </c>
      <c r="BD32" s="194" t="inlineStr">
        <is>
          <t/>
        </is>
      </c>
      <c r="BE32" s="195" t="inlineStr">
        <is>
          <t/>
        </is>
      </c>
      <c r="BF32" s="196" t="inlineStr">
        <is>
          <t>Jones Day (Legal Advisor)</t>
        </is>
      </c>
      <c r="BG32" s="197" t="n">
        <v>41306.0</v>
      </c>
      <c r="BH32" s="198" t="n">
        <v>0.3</v>
      </c>
      <c r="BI32" s="199" t="inlineStr">
        <is>
          <t>Actual</t>
        </is>
      </c>
      <c r="BJ32" s="200" t="inlineStr">
        <is>
          <t/>
        </is>
      </c>
      <c r="BK32" s="201" t="inlineStr">
        <is>
          <t/>
        </is>
      </c>
      <c r="BL32" s="202" t="inlineStr">
        <is>
          <t>Angel (individual)</t>
        </is>
      </c>
      <c r="BM32" s="203" t="inlineStr">
        <is>
          <t>Angel</t>
        </is>
      </c>
      <c r="BN32" s="204" t="inlineStr">
        <is>
          <t/>
        </is>
      </c>
      <c r="BO32" s="205" t="inlineStr">
        <is>
          <t>Individual</t>
        </is>
      </c>
      <c r="BP32" s="206" t="inlineStr">
        <is>
          <t/>
        </is>
      </c>
      <c r="BQ32" s="207" t="inlineStr">
        <is>
          <t/>
        </is>
      </c>
      <c r="BR32" s="208" t="inlineStr">
        <is>
          <t/>
        </is>
      </c>
      <c r="BS32" s="209" t="inlineStr">
        <is>
          <t>Completed</t>
        </is>
      </c>
      <c r="BT32" s="210" t="n">
        <v>42989.0</v>
      </c>
      <c r="BU32" s="211" t="n">
        <v>60.0</v>
      </c>
      <c r="BV32" s="212" t="inlineStr">
        <is>
          <t>Actual</t>
        </is>
      </c>
      <c r="BW32" s="213" t="inlineStr">
        <is>
          <t/>
        </is>
      </c>
      <c r="BX32" s="214" t="inlineStr">
        <is>
          <t/>
        </is>
      </c>
      <c r="BY32" s="215" t="inlineStr">
        <is>
          <t>Later Stage VC</t>
        </is>
      </c>
      <c r="BZ32" s="216" t="inlineStr">
        <is>
          <t>Series C</t>
        </is>
      </c>
      <c r="CA32" s="217" t="inlineStr">
        <is>
          <t/>
        </is>
      </c>
      <c r="CB32" s="218" t="inlineStr">
        <is>
          <t>Venture Capital</t>
        </is>
      </c>
      <c r="CC32" s="219" t="inlineStr">
        <is>
          <t/>
        </is>
      </c>
      <c r="CD32" s="220" t="inlineStr">
        <is>
          <t/>
        </is>
      </c>
      <c r="CE32" s="221" t="inlineStr">
        <is>
          <t/>
        </is>
      </c>
      <c r="CF32" s="222" t="inlineStr">
        <is>
          <t>Completed</t>
        </is>
      </c>
      <c r="CG32" s="223" t="inlineStr">
        <is>
          <t>0,28%</t>
        </is>
      </c>
      <c r="CH32" s="224" t="inlineStr">
        <is>
          <t>89</t>
        </is>
      </c>
      <c r="CI32" s="225" t="inlineStr">
        <is>
          <t>0,04%</t>
        </is>
      </c>
      <c r="CJ32" s="226" t="inlineStr">
        <is>
          <t>14,85%</t>
        </is>
      </c>
      <c r="CK32" s="227" t="inlineStr">
        <is>
          <t>-1,29%</t>
        </is>
      </c>
      <c r="CL32" s="228" t="inlineStr">
        <is>
          <t>18</t>
        </is>
      </c>
      <c r="CM32" s="229" t="inlineStr">
        <is>
          <t>0,74%</t>
        </is>
      </c>
      <c r="CN32" s="230" t="inlineStr">
        <is>
          <t>93</t>
        </is>
      </c>
      <c r="CO32" s="231" t="inlineStr">
        <is>
          <t/>
        </is>
      </c>
      <c r="CP32" s="232" t="inlineStr">
        <is>
          <t/>
        </is>
      </c>
      <c r="CQ32" s="233" t="inlineStr">
        <is>
          <t>-1,29%</t>
        </is>
      </c>
      <c r="CR32" s="234" t="inlineStr">
        <is>
          <t>7</t>
        </is>
      </c>
      <c r="CS32" s="235" t="inlineStr">
        <is>
          <t>0,68%</t>
        </is>
      </c>
      <c r="CT32" s="236" t="inlineStr">
        <is>
          <t>91</t>
        </is>
      </c>
      <c r="CU32" s="237" t="inlineStr">
        <is>
          <t>0,80%</t>
        </is>
      </c>
      <c r="CV32" s="238" t="inlineStr">
        <is>
          <t>95</t>
        </is>
      </c>
      <c r="CW32" s="239" t="inlineStr">
        <is>
          <t>120,15x</t>
        </is>
      </c>
      <c r="CX32" s="240" t="inlineStr">
        <is>
          <t>99</t>
        </is>
      </c>
      <c r="CY32" s="241" t="inlineStr">
        <is>
          <t>-0,49x</t>
        </is>
      </c>
      <c r="CZ32" s="242" t="inlineStr">
        <is>
          <t>-0,41%</t>
        </is>
      </c>
      <c r="DA32" s="243" t="inlineStr">
        <is>
          <t>26,81x</t>
        </is>
      </c>
      <c r="DB32" s="244" t="inlineStr">
        <is>
          <t>95</t>
        </is>
      </c>
      <c r="DC32" s="245" t="inlineStr">
        <is>
          <t>333,14x</t>
        </is>
      </c>
      <c r="DD32" s="246" t="inlineStr">
        <is>
          <t>99</t>
        </is>
      </c>
      <c r="DE32" s="247" t="inlineStr">
        <is>
          <t/>
        </is>
      </c>
      <c r="DF32" s="248" t="inlineStr">
        <is>
          <t/>
        </is>
      </c>
      <c r="DG32" s="249" t="inlineStr">
        <is>
          <t>26,81x</t>
        </is>
      </c>
      <c r="DH32" s="250" t="inlineStr">
        <is>
          <t>95</t>
        </is>
      </c>
      <c r="DI32" s="251" t="inlineStr">
        <is>
          <t>665,13x</t>
        </is>
      </c>
      <c r="DJ32" s="252" t="inlineStr">
        <is>
          <t>99</t>
        </is>
      </c>
      <c r="DK32" s="253" t="inlineStr">
        <is>
          <t>1,14x</t>
        </is>
      </c>
      <c r="DL32" s="254" t="inlineStr">
        <is>
          <t>53</t>
        </is>
      </c>
      <c r="DM32" s="255" t="inlineStr">
        <is>
          <t/>
        </is>
      </c>
      <c r="DN32" s="256" t="inlineStr">
        <is>
          <t/>
        </is>
      </c>
      <c r="DO32" s="257" t="inlineStr">
        <is>
          <t/>
        </is>
      </c>
      <c r="DP32" s="258" t="inlineStr">
        <is>
          <t>526.037</t>
        </is>
      </c>
      <c r="DQ32" s="259" t="inlineStr">
        <is>
          <t>2.897</t>
        </is>
      </c>
      <c r="DR32" s="260" t="inlineStr">
        <is>
          <t>0,55%</t>
        </is>
      </c>
      <c r="DS32" s="261" t="inlineStr">
        <is>
          <t>970</t>
        </is>
      </c>
      <c r="DT32" s="262" t="inlineStr">
        <is>
          <t>-14</t>
        </is>
      </c>
      <c r="DU32" s="263" t="inlineStr">
        <is>
          <t>-1,42%</t>
        </is>
      </c>
      <c r="DV32" s="264" t="inlineStr">
        <is>
          <t>426</t>
        </is>
      </c>
      <c r="DW32" s="265" t="inlineStr">
        <is>
          <t>14</t>
        </is>
      </c>
      <c r="DX32" s="266" t="inlineStr">
        <is>
          <t>3,40%</t>
        </is>
      </c>
      <c r="DY32" s="267" t="inlineStr">
        <is>
          <t>PitchBook Research</t>
        </is>
      </c>
      <c r="DZ32" s="786">
        <f>HYPERLINK("https://my.pitchbook.com?c=94096-90", "View company online")</f>
      </c>
    </row>
    <row r="33">
      <c r="A33" s="9" t="inlineStr">
        <is>
          <t>55280-44</t>
        </is>
      </c>
      <c r="B33" s="10" t="inlineStr">
        <is>
          <t>Truecaller</t>
        </is>
      </c>
      <c r="C33" s="11" t="inlineStr">
        <is>
          <t/>
        </is>
      </c>
      <c r="D33" s="12" t="inlineStr">
        <is>
          <t/>
        </is>
      </c>
      <c r="E33" s="13" t="inlineStr">
        <is>
          <t>55280-44</t>
        </is>
      </c>
      <c r="F33" s="14" t="inlineStr">
        <is>
          <t>Developer of a mobile application designed to identify unknown calls or blocking spam SMS. The company's mobile application helps the users to share their phone book numbers to prepaid phone networks and create a global directory through a mobile application to search and find people, enabling users to achieve call-blocking functionality and social media integration to keep the phonebook up-to-date with pictures and birthdays.</t>
        </is>
      </c>
      <c r="G33" s="15" t="inlineStr">
        <is>
          <t>Information Technology</t>
        </is>
      </c>
      <c r="H33" s="16" t="inlineStr">
        <is>
          <t>Software</t>
        </is>
      </c>
      <c r="I33" s="17" t="inlineStr">
        <is>
          <t>Application Software</t>
        </is>
      </c>
      <c r="J33" s="18" t="inlineStr">
        <is>
          <t>Application Software*; Information Services (B2C); Database Software</t>
        </is>
      </c>
      <c r="K33" s="19" t="inlineStr">
        <is>
          <t>Mobile</t>
        </is>
      </c>
      <c r="L33" s="20" t="inlineStr">
        <is>
          <t>Venture Capital-Backed</t>
        </is>
      </c>
      <c r="M33" s="21" t="n">
        <v>74.53</v>
      </c>
      <c r="N33" s="22" t="inlineStr">
        <is>
          <t>Generating Revenue/Not Profitable</t>
        </is>
      </c>
      <c r="O33" s="23" t="inlineStr">
        <is>
          <t>Privately Held (backing)</t>
        </is>
      </c>
      <c r="P33" s="24" t="inlineStr">
        <is>
          <t>Venture Capital</t>
        </is>
      </c>
      <c r="Q33" s="25" t="inlineStr">
        <is>
          <t>www.truecaller.com</t>
        </is>
      </c>
      <c r="R33" s="26" t="n">
        <v>140.0</v>
      </c>
      <c r="S33" s="27" t="inlineStr">
        <is>
          <t/>
        </is>
      </c>
      <c r="T33" s="28" t="inlineStr">
        <is>
          <t/>
        </is>
      </c>
      <c r="U33" s="29" t="n">
        <v>2009.0</v>
      </c>
      <c r="V33" s="30" t="inlineStr">
        <is>
          <t/>
        </is>
      </c>
      <c r="W33" s="31" t="inlineStr">
        <is>
          <t/>
        </is>
      </c>
      <c r="X33" s="32" t="inlineStr">
        <is>
          <t/>
        </is>
      </c>
      <c r="Y33" s="33" t="n">
        <v>0.30318</v>
      </c>
      <c r="Z33" s="34" t="inlineStr">
        <is>
          <t/>
        </is>
      </c>
      <c r="AA33" s="35" t="n">
        <v>-19.76188</v>
      </c>
      <c r="AB33" s="36" t="inlineStr">
        <is>
          <t/>
        </is>
      </c>
      <c r="AC33" s="37" t="n">
        <v>-20.6898</v>
      </c>
      <c r="AD33" s="38" t="inlineStr">
        <is>
          <t>FY 2015</t>
        </is>
      </c>
      <c r="AE33" s="39" t="inlineStr">
        <is>
          <t>45390-79P</t>
        </is>
      </c>
      <c r="AF33" s="40" t="inlineStr">
        <is>
          <t>Alan Mamedi</t>
        </is>
      </c>
      <c r="AG33" s="41" t="inlineStr">
        <is>
          <t>Co-Founder, Chief Executive Officer &amp; Board Member</t>
        </is>
      </c>
      <c r="AH33" s="42" t="inlineStr">
        <is>
          <t>alan.mamedi@truecaller.com</t>
        </is>
      </c>
      <c r="AI33" s="43" t="inlineStr">
        <is>
          <t>+46 (0)70 45 06 210</t>
        </is>
      </c>
      <c r="AJ33" s="44" t="inlineStr">
        <is>
          <t>Stockholm, Sweden</t>
        </is>
      </c>
      <c r="AK33" s="45" t="inlineStr">
        <is>
          <t>Kungsgatan 15</t>
        </is>
      </c>
      <c r="AL33" s="46" t="inlineStr">
        <is>
          <t/>
        </is>
      </c>
      <c r="AM33" s="47" t="inlineStr">
        <is>
          <t>Stockholm</t>
        </is>
      </c>
      <c r="AN33" s="48" t="inlineStr">
        <is>
          <t/>
        </is>
      </c>
      <c r="AO33" s="49" t="inlineStr">
        <is>
          <t>111 43</t>
        </is>
      </c>
      <c r="AP33" s="50" t="inlineStr">
        <is>
          <t>Sweden</t>
        </is>
      </c>
      <c r="AQ33" s="51" t="inlineStr">
        <is>
          <t>+46 (0)70 45 06 210</t>
        </is>
      </c>
      <c r="AR33" s="52" t="inlineStr">
        <is>
          <t/>
        </is>
      </c>
      <c r="AS33" s="53" t="inlineStr">
        <is>
          <t>info@truecaller.com</t>
        </is>
      </c>
      <c r="AT33" s="54" t="inlineStr">
        <is>
          <t>Europe</t>
        </is>
      </c>
      <c r="AU33" s="55" t="inlineStr">
        <is>
          <t>Northern Europe</t>
        </is>
      </c>
      <c r="AV33" s="56" t="inlineStr">
        <is>
          <t>The company raised SEK 20 million of venture funding in a deal led by Zenith Venture Capital on March 28, 2017. Inbox Capital also participated in the round. It also raised SEK 100 million of venture funding from Zenith Venture Capital on December 12, 2016, putting the company's pre-money valuation at $3233.3 million. Earlier, the company was in talks to raise $100 million of Series D venture funding from GV and Twitter Ventures as of July 29, 2015, putting the company's pre-money valuation at $900 million. Subsequently the deal was cancelled. Previously, the company raised an undisclosed amount of angel funding from Arun Sarin, Sebastian Siemiatkowski and Niklas Adalberth on June 9, 2016.</t>
        </is>
      </c>
      <c r="AW33" s="57" t="inlineStr">
        <is>
          <t>Access Partners, Arjun Sethi, Arun Sarin, Atomico, Inbox Capital, Kleiner Perkins Caufield &amp; Byers, Martin Varsavsky, Niklas Adalberth, Open Ocean Partners, Pandelis Eliopoulos, Sebastian Siemiatkowski, Sequoia Capital India, Zenith Venture Capital</t>
        </is>
      </c>
      <c r="AX33" s="58" t="n">
        <v>13.0</v>
      </c>
      <c r="AY33" s="59" t="inlineStr">
        <is>
          <t/>
        </is>
      </c>
      <c r="AZ33" s="60" t="inlineStr">
        <is>
          <t/>
        </is>
      </c>
      <c r="BA33" s="61" t="inlineStr">
        <is>
          <t>GV, Twitter Ventures</t>
        </is>
      </c>
      <c r="BB33" s="62" t="inlineStr">
        <is>
          <t>Access Partners (www.accesspartners.com), Atomico (www.atomico.com), Kleiner Perkins Caufield &amp; Byers (www.kpcb.com), Martin Varsavsky (www.english.martinvarsavsky.net), Open Ocean Partners (www.openocean.vc), Sequoia Capital India (www.sequoiacap.com), Zenith Venture Capital (www.zenith.vc)</t>
        </is>
      </c>
      <c r="BC33" s="63" t="inlineStr">
        <is>
          <t/>
        </is>
      </c>
      <c r="BD33" s="64" t="inlineStr">
        <is>
          <t>GV (www.gv.com), Twitter Ventures (www.twitterventures.com)</t>
        </is>
      </c>
      <c r="BE33" s="65" t="inlineStr">
        <is>
          <t/>
        </is>
      </c>
      <c r="BF33" s="66" t="inlineStr">
        <is>
          <t>Access Partners (Advisor: General), Morgan Stanley (Lead Manager or Arranger)</t>
        </is>
      </c>
      <c r="BG33" s="67" t="n">
        <v>40891.0</v>
      </c>
      <c r="BH33" s="68" t="inlineStr">
        <is>
          <t/>
        </is>
      </c>
      <c r="BI33" s="69" t="inlineStr">
        <is>
          <t/>
        </is>
      </c>
      <c r="BJ33" s="70" t="inlineStr">
        <is>
          <t/>
        </is>
      </c>
      <c r="BK33" s="71" t="inlineStr">
        <is>
          <t/>
        </is>
      </c>
      <c r="BL33" s="72" t="inlineStr">
        <is>
          <t>Early Stage VC</t>
        </is>
      </c>
      <c r="BM33" s="73" t="inlineStr">
        <is>
          <t/>
        </is>
      </c>
      <c r="BN33" s="74" t="inlineStr">
        <is>
          <t/>
        </is>
      </c>
      <c r="BO33" s="75" t="inlineStr">
        <is>
          <t>Venture Capital</t>
        </is>
      </c>
      <c r="BP33" s="76" t="inlineStr">
        <is>
          <t/>
        </is>
      </c>
      <c r="BQ33" s="77" t="inlineStr">
        <is>
          <t/>
        </is>
      </c>
      <c r="BR33" s="78" t="inlineStr">
        <is>
          <t/>
        </is>
      </c>
      <c r="BS33" s="79" t="inlineStr">
        <is>
          <t>Completed</t>
        </is>
      </c>
      <c r="BT33" s="80" t="n">
        <v>42822.0</v>
      </c>
      <c r="BU33" s="81" t="n">
        <v>2.1</v>
      </c>
      <c r="BV33" s="82" t="inlineStr">
        <is>
          <t>Actual</t>
        </is>
      </c>
      <c r="BW33" s="83" t="inlineStr">
        <is>
          <t/>
        </is>
      </c>
      <c r="BX33" s="84" t="inlineStr">
        <is>
          <t/>
        </is>
      </c>
      <c r="BY33" s="85" t="inlineStr">
        <is>
          <t>Later Stage VC</t>
        </is>
      </c>
      <c r="BZ33" s="86" t="inlineStr">
        <is>
          <t/>
        </is>
      </c>
      <c r="CA33" s="87" t="inlineStr">
        <is>
          <t/>
        </is>
      </c>
      <c r="CB33" s="88" t="inlineStr">
        <is>
          <t>Venture Capital</t>
        </is>
      </c>
      <c r="CC33" s="89" t="inlineStr">
        <is>
          <t/>
        </is>
      </c>
      <c r="CD33" s="90" t="inlineStr">
        <is>
          <t/>
        </is>
      </c>
      <c r="CE33" s="91" t="inlineStr">
        <is>
          <t/>
        </is>
      </c>
      <c r="CF33" s="92" t="inlineStr">
        <is>
          <t>Completed</t>
        </is>
      </c>
      <c r="CG33" s="93" t="inlineStr">
        <is>
          <t>-3,42%</t>
        </is>
      </c>
      <c r="CH33" s="94" t="inlineStr">
        <is>
          <t>6</t>
        </is>
      </c>
      <c r="CI33" s="95" t="inlineStr">
        <is>
          <t>-0,04%</t>
        </is>
      </c>
      <c r="CJ33" s="96" t="inlineStr">
        <is>
          <t>-1,17%</t>
        </is>
      </c>
      <c r="CK33" s="97" t="inlineStr">
        <is>
          <t>-12,34%</t>
        </is>
      </c>
      <c r="CL33" s="98" t="inlineStr">
        <is>
          <t>2</t>
        </is>
      </c>
      <c r="CM33" s="99" t="inlineStr">
        <is>
          <t>0,01%</t>
        </is>
      </c>
      <c r="CN33" s="100" t="inlineStr">
        <is>
          <t>42</t>
        </is>
      </c>
      <c r="CO33" s="101" t="inlineStr">
        <is>
          <t>-24,30%</t>
        </is>
      </c>
      <c r="CP33" s="102" t="inlineStr">
        <is>
          <t>3</t>
        </is>
      </c>
      <c r="CQ33" s="103" t="inlineStr">
        <is>
          <t>-0,39%</t>
        </is>
      </c>
      <c r="CR33" s="104" t="inlineStr">
        <is>
          <t>17</t>
        </is>
      </c>
      <c r="CS33" s="105" t="inlineStr">
        <is>
          <t>0,01%</t>
        </is>
      </c>
      <c r="CT33" s="106" t="inlineStr">
        <is>
          <t>41</t>
        </is>
      </c>
      <c r="CU33" s="107" t="inlineStr">
        <is>
          <t>0,01%</t>
        </is>
      </c>
      <c r="CV33" s="108" t="inlineStr">
        <is>
          <t>54</t>
        </is>
      </c>
      <c r="CW33" s="109" t="inlineStr">
        <is>
          <t>1.025,53x</t>
        </is>
      </c>
      <c r="CX33" s="110" t="inlineStr">
        <is>
          <t>100</t>
        </is>
      </c>
      <c r="CY33" s="111" t="inlineStr">
        <is>
          <t>18,59x</t>
        </is>
      </c>
      <c r="CZ33" s="112" t="inlineStr">
        <is>
          <t>1,85%</t>
        </is>
      </c>
      <c r="DA33" s="113" t="inlineStr">
        <is>
          <t>193,37x</t>
        </is>
      </c>
      <c r="DB33" s="114" t="inlineStr">
        <is>
          <t>100</t>
        </is>
      </c>
      <c r="DC33" s="115" t="inlineStr">
        <is>
          <t>1.675,28x</t>
        </is>
      </c>
      <c r="DD33" s="116" t="inlineStr">
        <is>
          <t>100</t>
        </is>
      </c>
      <c r="DE33" s="117" t="inlineStr">
        <is>
          <t>286,60x</t>
        </is>
      </c>
      <c r="DF33" s="118" t="inlineStr">
        <is>
          <t>99</t>
        </is>
      </c>
      <c r="DG33" s="119" t="inlineStr">
        <is>
          <t>100,14x</t>
        </is>
      </c>
      <c r="DH33" s="120" t="inlineStr">
        <is>
          <t>99</t>
        </is>
      </c>
      <c r="DI33" s="121" t="inlineStr">
        <is>
          <t>3.046,60x</t>
        </is>
      </c>
      <c r="DJ33" s="122" t="inlineStr">
        <is>
          <t>100</t>
        </is>
      </c>
      <c r="DK33" s="123" t="inlineStr">
        <is>
          <t>303,95x</t>
        </is>
      </c>
      <c r="DL33" s="124" t="inlineStr">
        <is>
          <t>99</t>
        </is>
      </c>
      <c r="DM33" s="125" t="inlineStr">
        <is>
          <t>106.287</t>
        </is>
      </c>
      <c r="DN33" s="126" t="inlineStr">
        <is>
          <t>212</t>
        </is>
      </c>
      <c r="DO33" s="127" t="inlineStr">
        <is>
          <t>0,20%</t>
        </is>
      </c>
      <c r="DP33" s="128" t="inlineStr">
        <is>
          <t>2.413.098</t>
        </is>
      </c>
      <c r="DQ33" s="129" t="inlineStr">
        <is>
          <t>-263</t>
        </is>
      </c>
      <c r="DR33" s="130" t="inlineStr">
        <is>
          <t>-0,01%</t>
        </is>
      </c>
      <c r="DS33" s="131" t="inlineStr">
        <is>
          <t>3.611</t>
        </is>
      </c>
      <c r="DT33" s="132" t="inlineStr">
        <is>
          <t>-14</t>
        </is>
      </c>
      <c r="DU33" s="133" t="inlineStr">
        <is>
          <t>-0,39%</t>
        </is>
      </c>
      <c r="DV33" s="134" t="inlineStr">
        <is>
          <t>113.687</t>
        </is>
      </c>
      <c r="DW33" s="135" t="inlineStr">
        <is>
          <t>-21</t>
        </is>
      </c>
      <c r="DX33" s="136" t="inlineStr">
        <is>
          <t>-0,02%</t>
        </is>
      </c>
      <c r="DY33" s="137" t="inlineStr">
        <is>
          <t>PitchBook Research</t>
        </is>
      </c>
      <c r="DZ33" s="785">
        <f>HYPERLINK("https://my.pitchbook.com?c=55280-44", "View company online")</f>
      </c>
    </row>
    <row r="34">
      <c r="A34" s="139" t="inlineStr">
        <is>
          <t>65416-69</t>
        </is>
      </c>
      <c r="B34" s="140" t="inlineStr">
        <is>
          <t>Ve Global UK</t>
        </is>
      </c>
      <c r="C34" s="141" t="inlineStr">
        <is>
          <t>Ve Interactive</t>
        </is>
      </c>
      <c r="D34" s="142" t="inlineStr">
        <is>
          <t>Ve</t>
        </is>
      </c>
      <c r="E34" s="143" t="inlineStr">
        <is>
          <t>65416-69</t>
        </is>
      </c>
      <c r="F34" s="144" t="inlineStr">
        <is>
          <t>Developer of an online data platform designed to identify, acquire and engage customers for businesses. The company's online data platform analyses transactions and provides market insight to advise clients on industry standards and trends, enabling businesses to drive new traffic, reduce bounce rate, increase customer engagement, minimize website abandonment and boost conversions.</t>
        </is>
      </c>
      <c r="G34" s="145" t="inlineStr">
        <is>
          <t>Information Technology</t>
        </is>
      </c>
      <c r="H34" s="146" t="inlineStr">
        <is>
          <t>IT Services</t>
        </is>
      </c>
      <c r="I34" s="147" t="inlineStr">
        <is>
          <t>Other IT Services</t>
        </is>
      </c>
      <c r="J34" s="148" t="inlineStr">
        <is>
          <t>Other IT Services*; Media and Information Services (B2B); Business/Productivity Software</t>
        </is>
      </c>
      <c r="K34" s="149" t="inlineStr">
        <is>
          <t>Big Data, SaaS</t>
        </is>
      </c>
      <c r="L34" s="150" t="inlineStr">
        <is>
          <t>Formerly VC-Backed</t>
        </is>
      </c>
      <c r="M34" s="151" t="n">
        <v>72.76</v>
      </c>
      <c r="N34" s="152" t="inlineStr">
        <is>
          <t>Bankruptcy: Admin/Reorg</t>
        </is>
      </c>
      <c r="O34" s="153" t="inlineStr">
        <is>
          <t>Acquired/Merged (Operating Subsidiary)</t>
        </is>
      </c>
      <c r="P34" s="154" t="inlineStr">
        <is>
          <t>Venture Capital, M&amp;A</t>
        </is>
      </c>
      <c r="Q34" s="155" t="inlineStr">
        <is>
          <t>www.ve.com</t>
        </is>
      </c>
      <c r="R34" s="156" t="n">
        <v>850.0</v>
      </c>
      <c r="S34" s="157" t="inlineStr">
        <is>
          <t/>
        </is>
      </c>
      <c r="T34" s="158" t="inlineStr">
        <is>
          <t/>
        </is>
      </c>
      <c r="U34" s="159" t="n">
        <v>2009.0</v>
      </c>
      <c r="V34" s="160" t="inlineStr">
        <is>
          <t>Rowchester</t>
        </is>
      </c>
      <c r="W34" s="161" t="inlineStr">
        <is>
          <t/>
        </is>
      </c>
      <c r="X34" s="162" t="inlineStr">
        <is>
          <t/>
        </is>
      </c>
      <c r="Y34" s="163" t="n">
        <v>86.22683</v>
      </c>
      <c r="Z34" s="164" t="inlineStr">
        <is>
          <t/>
        </is>
      </c>
      <c r="AA34" s="165" t="n">
        <v>22.77565</v>
      </c>
      <c r="AB34" s="166" t="inlineStr">
        <is>
          <t/>
        </is>
      </c>
      <c r="AC34" s="167" t="inlineStr">
        <is>
          <t/>
        </is>
      </c>
      <c r="AD34" s="168" t="inlineStr">
        <is>
          <t>FY 2016</t>
        </is>
      </c>
      <c r="AE34" s="169" t="inlineStr">
        <is>
          <t>92867-77P</t>
        </is>
      </c>
      <c r="AF34" s="170" t="inlineStr">
        <is>
          <t>Bjorn Antonson</t>
        </is>
      </c>
      <c r="AG34" s="171" t="inlineStr">
        <is>
          <t>Chief Financial Officer</t>
        </is>
      </c>
      <c r="AH34" s="172" t="inlineStr">
        <is>
          <t>bjorn.antonson@veinteractive.com</t>
        </is>
      </c>
      <c r="AI34" s="173" t="inlineStr">
        <is>
          <t>+44 (0)20 3137 5730</t>
        </is>
      </c>
      <c r="AJ34" s="174" t="inlineStr">
        <is>
          <t>London, United Kingdom</t>
        </is>
      </c>
      <c r="AK34" s="175" t="inlineStr">
        <is>
          <t>White Collar Factory</t>
        </is>
      </c>
      <c r="AL34" s="176" t="inlineStr">
        <is>
          <t>1 Old Street Yard</t>
        </is>
      </c>
      <c r="AM34" s="177" t="inlineStr">
        <is>
          <t>London</t>
        </is>
      </c>
      <c r="AN34" s="178" t="inlineStr">
        <is>
          <t>England</t>
        </is>
      </c>
      <c r="AO34" s="179" t="inlineStr">
        <is>
          <t>EC1Y 8AF</t>
        </is>
      </c>
      <c r="AP34" s="180" t="inlineStr">
        <is>
          <t>United Kingdom</t>
        </is>
      </c>
      <c r="AQ34" s="181" t="inlineStr">
        <is>
          <t>+44 (0)20 3137 5730</t>
        </is>
      </c>
      <c r="AR34" s="182" t="inlineStr">
        <is>
          <t/>
        </is>
      </c>
      <c r="AS34" s="183" t="inlineStr">
        <is>
          <t>info.uk@ve.com</t>
        </is>
      </c>
      <c r="AT34" s="184" t="inlineStr">
        <is>
          <t>Europe</t>
        </is>
      </c>
      <c r="AU34" s="185" t="inlineStr">
        <is>
          <t>Western Europe</t>
        </is>
      </c>
      <c r="AV34" s="186" t="inlineStr">
        <is>
          <t>The company failed and was subsequently acquired by Rowchester and the company's management for GBP 2 million on April 26, 2017 and is no longer actively tracked by PitchBook.</t>
        </is>
      </c>
      <c r="AW34" s="187" t="inlineStr">
        <is>
          <t/>
        </is>
      </c>
      <c r="AX34" s="188" t="inlineStr">
        <is>
          <t/>
        </is>
      </c>
      <c r="AY34" s="189" t="inlineStr">
        <is>
          <t>Rowchester</t>
        </is>
      </c>
      <c r="AZ34" s="190" t="inlineStr">
        <is>
          <t>Aston Ventures, Concha, Mark Pearson, UK Business Angels Association</t>
        </is>
      </c>
      <c r="BA34" s="191" t="inlineStr">
        <is>
          <t/>
        </is>
      </c>
      <c r="BB34" s="192" t="inlineStr">
        <is>
          <t/>
        </is>
      </c>
      <c r="BC34" s="193" t="inlineStr">
        <is>
          <t>Aston Ventures (www.astonventures.com), Concha (www.concha-plc.com), UK Business Angels Association (www.ukbaa.org.uk)</t>
        </is>
      </c>
      <c r="BD34" s="194" t="inlineStr">
        <is>
          <t/>
        </is>
      </c>
      <c r="BE34" s="195" t="inlineStr">
        <is>
          <t>Menzies (Auditor), Taylor Wessing (Legal Advisor), Future Fifty (Consulting), Barclays Bank (General Business Banking)</t>
        </is>
      </c>
      <c r="BF34" s="196" t="inlineStr">
        <is>
          <t/>
        </is>
      </c>
      <c r="BG34" s="197" t="n">
        <v>41922.0</v>
      </c>
      <c r="BH34" s="198" t="n">
        <v>0.79</v>
      </c>
      <c r="BI34" s="199" t="inlineStr">
        <is>
          <t>Actual</t>
        </is>
      </c>
      <c r="BJ34" s="200" t="inlineStr">
        <is>
          <t/>
        </is>
      </c>
      <c r="BK34" s="201" t="inlineStr">
        <is>
          <t/>
        </is>
      </c>
      <c r="BL34" s="202" t="inlineStr">
        <is>
          <t>Angel (individual)</t>
        </is>
      </c>
      <c r="BM34" s="203" t="inlineStr">
        <is>
          <t>Angel</t>
        </is>
      </c>
      <c r="BN34" s="204" t="inlineStr">
        <is>
          <t/>
        </is>
      </c>
      <c r="BO34" s="205" t="inlineStr">
        <is>
          <t>Individual</t>
        </is>
      </c>
      <c r="BP34" s="206" t="inlineStr">
        <is>
          <t/>
        </is>
      </c>
      <c r="BQ34" s="207" t="inlineStr">
        <is>
          <t/>
        </is>
      </c>
      <c r="BR34" s="208" t="inlineStr">
        <is>
          <t/>
        </is>
      </c>
      <c r="BS34" s="209" t="inlineStr">
        <is>
          <t>Completed</t>
        </is>
      </c>
      <c r="BT34" s="210" t="n">
        <v>42851.0</v>
      </c>
      <c r="BU34" s="211" t="n">
        <v>2.36</v>
      </c>
      <c r="BV34" s="212" t="inlineStr">
        <is>
          <t>Actual</t>
        </is>
      </c>
      <c r="BW34" s="213" t="n">
        <v>2.36</v>
      </c>
      <c r="BX34" s="214" t="inlineStr">
        <is>
          <t>Actual</t>
        </is>
      </c>
      <c r="BY34" s="215" t="inlineStr">
        <is>
          <t>Merger/Acquisition</t>
        </is>
      </c>
      <c r="BZ34" s="216" t="inlineStr">
        <is>
          <t>Distressed Acquisition</t>
        </is>
      </c>
      <c r="CA34" s="217" t="inlineStr">
        <is>
          <t/>
        </is>
      </c>
      <c r="CB34" s="218" t="inlineStr">
        <is>
          <t>Corporate</t>
        </is>
      </c>
      <c r="CC34" s="219" t="inlineStr">
        <is>
          <t/>
        </is>
      </c>
      <c r="CD34" s="220" t="inlineStr">
        <is>
          <t/>
        </is>
      </c>
      <c r="CE34" s="221" t="inlineStr">
        <is>
          <t/>
        </is>
      </c>
      <c r="CF34" s="222" t="inlineStr">
        <is>
          <t>Completed</t>
        </is>
      </c>
      <c r="CG34" s="223" t="inlineStr">
        <is>
          <t>-7,15%</t>
        </is>
      </c>
      <c r="CH34" s="224" t="inlineStr">
        <is>
          <t>2</t>
        </is>
      </c>
      <c r="CI34" s="225" t="inlineStr">
        <is>
          <t>-0,03%</t>
        </is>
      </c>
      <c r="CJ34" s="226" t="inlineStr">
        <is>
          <t>-0,38%</t>
        </is>
      </c>
      <c r="CK34" s="227" t="inlineStr">
        <is>
          <t>-14,31%</t>
        </is>
      </c>
      <c r="CL34" s="228" t="inlineStr">
        <is>
          <t>1</t>
        </is>
      </c>
      <c r="CM34" s="229" t="inlineStr">
        <is>
          <t>0,00%</t>
        </is>
      </c>
      <c r="CN34" s="230" t="inlineStr">
        <is>
          <t>20</t>
        </is>
      </c>
      <c r="CO34" s="231" t="inlineStr">
        <is>
          <t>-27,48%</t>
        </is>
      </c>
      <c r="CP34" s="232" t="inlineStr">
        <is>
          <t>2</t>
        </is>
      </c>
      <c r="CQ34" s="233" t="inlineStr">
        <is>
          <t>-1,14%</t>
        </is>
      </c>
      <c r="CR34" s="234" t="inlineStr">
        <is>
          <t>8</t>
        </is>
      </c>
      <c r="CS34" s="235" t="inlineStr">
        <is>
          <t/>
        </is>
      </c>
      <c r="CT34" s="236" t="inlineStr">
        <is>
          <t/>
        </is>
      </c>
      <c r="CU34" s="237" t="inlineStr">
        <is>
          <t>0,00%</t>
        </is>
      </c>
      <c r="CV34" s="238" t="inlineStr">
        <is>
          <t>21</t>
        </is>
      </c>
      <c r="CW34" s="239" t="inlineStr">
        <is>
          <t>14,37x</t>
        </is>
      </c>
      <c r="CX34" s="240" t="inlineStr">
        <is>
          <t>91</t>
        </is>
      </c>
      <c r="CY34" s="241" t="inlineStr">
        <is>
          <t>-0,54x</t>
        </is>
      </c>
      <c r="CZ34" s="242" t="inlineStr">
        <is>
          <t>-3,59%</t>
        </is>
      </c>
      <c r="DA34" s="243" t="inlineStr">
        <is>
          <t>28,68x</t>
        </is>
      </c>
      <c r="DB34" s="244" t="inlineStr">
        <is>
          <t>96</t>
        </is>
      </c>
      <c r="DC34" s="245" t="inlineStr">
        <is>
          <t>0,06x</t>
        </is>
      </c>
      <c r="DD34" s="246" t="inlineStr">
        <is>
          <t>9</t>
        </is>
      </c>
      <c r="DE34" s="247" t="inlineStr">
        <is>
          <t>1,63x</t>
        </is>
      </c>
      <c r="DF34" s="248" t="inlineStr">
        <is>
          <t>62</t>
        </is>
      </c>
      <c r="DG34" s="249" t="inlineStr">
        <is>
          <t>55,72x</t>
        </is>
      </c>
      <c r="DH34" s="250" t="inlineStr">
        <is>
          <t>98</t>
        </is>
      </c>
      <c r="DI34" s="251" t="inlineStr">
        <is>
          <t/>
        </is>
      </c>
      <c r="DJ34" s="252" t="inlineStr">
        <is>
          <t/>
        </is>
      </c>
      <c r="DK34" s="253" t="inlineStr">
        <is>
          <t>0,06x</t>
        </is>
      </c>
      <c r="DL34" s="254" t="inlineStr">
        <is>
          <t>12</t>
        </is>
      </c>
      <c r="DM34" s="255" t="inlineStr">
        <is>
          <t>4.179</t>
        </is>
      </c>
      <c r="DN34" s="256" t="inlineStr">
        <is>
          <t>-8.339</t>
        </is>
      </c>
      <c r="DO34" s="257" t="inlineStr">
        <is>
          <t>-66,62%</t>
        </is>
      </c>
      <c r="DP34" s="258" t="inlineStr">
        <is>
          <t>5.352</t>
        </is>
      </c>
      <c r="DQ34" s="259" t="inlineStr">
        <is>
          <t>4</t>
        </is>
      </c>
      <c r="DR34" s="260" t="inlineStr">
        <is>
          <t>0,07%</t>
        </is>
      </c>
      <c r="DS34" s="261" t="inlineStr">
        <is>
          <t>2.039</t>
        </is>
      </c>
      <c r="DT34" s="262" t="inlineStr">
        <is>
          <t>-52</t>
        </is>
      </c>
      <c r="DU34" s="263" t="inlineStr">
        <is>
          <t>-2,49%</t>
        </is>
      </c>
      <c r="DV34" s="264" t="inlineStr">
        <is>
          <t>23</t>
        </is>
      </c>
      <c r="DW34" s="265" t="inlineStr">
        <is>
          <t>0</t>
        </is>
      </c>
      <c r="DX34" s="266" t="inlineStr">
        <is>
          <t>0,00%</t>
        </is>
      </c>
      <c r="DY34" s="267" t="inlineStr">
        <is>
          <t>PitchBook Research</t>
        </is>
      </c>
      <c r="DZ34" s="786">
        <f>HYPERLINK("https://my.pitchbook.com?c=65416-69", "View company online")</f>
      </c>
    </row>
    <row r="35">
      <c r="A35" s="9" t="inlineStr">
        <is>
          <t>56161-45</t>
        </is>
      </c>
      <c r="B35" s="10" t="inlineStr">
        <is>
          <t>BIMA (Mobile Micro-insurance)</t>
        </is>
      </c>
      <c r="C35" s="11" t="inlineStr">
        <is>
          <t/>
        </is>
      </c>
      <c r="D35" s="12" t="inlineStr">
        <is>
          <t/>
        </is>
      </c>
      <c r="E35" s="13" t="inlineStr">
        <is>
          <t>56161-45</t>
        </is>
      </c>
      <c r="F35" s="14" t="inlineStr">
        <is>
          <t>Provider of mobile insurance services designed to help mobile operators in emerging markets. The company's platform offers services including product development, mobile insurance, insurance administration and micro insurance and deals in designing products and models that actually work for consumers that are new to the concept of insurance, enabling users to get affordable insurance and mobile health services for low-income families.</t>
        </is>
      </c>
      <c r="G35" s="15" t="inlineStr">
        <is>
          <t>Financial Services</t>
        </is>
      </c>
      <c r="H35" s="16" t="inlineStr">
        <is>
          <t>Insurance</t>
        </is>
      </c>
      <c r="I35" s="17" t="inlineStr">
        <is>
          <t>Other Insurance</t>
        </is>
      </c>
      <c r="J35" s="18" t="inlineStr">
        <is>
          <t>Other Insurance*</t>
        </is>
      </c>
      <c r="K35" s="19" t="inlineStr">
        <is>
          <t>FinTech, InsurTech, Mobile</t>
        </is>
      </c>
      <c r="L35" s="20" t="inlineStr">
        <is>
          <t>Venture Capital-Backed</t>
        </is>
      </c>
      <c r="M35" s="21" t="n">
        <v>72.76</v>
      </c>
      <c r="N35" s="22" t="inlineStr">
        <is>
          <t>Generating Revenue</t>
        </is>
      </c>
      <c r="O35" s="23" t="inlineStr">
        <is>
          <t>Privately Held (backing)</t>
        </is>
      </c>
      <c r="P35" s="24" t="inlineStr">
        <is>
          <t>Venture Capital</t>
        </is>
      </c>
      <c r="Q35" s="25" t="inlineStr">
        <is>
          <t>www.bimamobile.com</t>
        </is>
      </c>
      <c r="R35" s="26" t="n">
        <v>3500.0</v>
      </c>
      <c r="S35" s="27" t="inlineStr">
        <is>
          <t/>
        </is>
      </c>
      <c r="T35" s="28" t="inlineStr">
        <is>
          <t/>
        </is>
      </c>
      <c r="U35" s="29" t="n">
        <v>2010.0</v>
      </c>
      <c r="V35" s="30" t="inlineStr">
        <is>
          <t/>
        </is>
      </c>
      <c r="W35" s="31" t="inlineStr">
        <is>
          <t/>
        </is>
      </c>
      <c r="X35" s="32" t="inlineStr">
        <is>
          <t/>
        </is>
      </c>
      <c r="Y35" s="33" t="n">
        <v>0.12862</v>
      </c>
      <c r="Z35" s="34" t="inlineStr">
        <is>
          <t/>
        </is>
      </c>
      <c r="AA35" s="35" t="n">
        <v>-2.60919</v>
      </c>
      <c r="AB35" s="36" t="inlineStr">
        <is>
          <t/>
        </is>
      </c>
      <c r="AC35" s="37" t="n">
        <v>-3.73923</v>
      </c>
      <c r="AD35" s="38" t="inlineStr">
        <is>
          <t>FY 2015</t>
        </is>
      </c>
      <c r="AE35" s="39" t="inlineStr">
        <is>
          <t>64331-83P</t>
        </is>
      </c>
      <c r="AF35" s="40" t="inlineStr">
        <is>
          <t>Gustaf Agartson</t>
        </is>
      </c>
      <c r="AG35" s="41" t="inlineStr">
        <is>
          <t>Chief Executive Officer &amp; Founder</t>
        </is>
      </c>
      <c r="AH35" s="42" t="inlineStr">
        <is>
          <t>gustaf.agartson@milvik.se</t>
        </is>
      </c>
      <c r="AI35" s="43" t="inlineStr">
        <is>
          <t>+46 (0)70 720 07 05</t>
        </is>
      </c>
      <c r="AJ35" s="44" t="inlineStr">
        <is>
          <t>Stockholm, Sweden</t>
        </is>
      </c>
      <c r="AK35" s="45" t="inlineStr">
        <is>
          <t>Skeppsbron 18</t>
        </is>
      </c>
      <c r="AL35" s="46" t="inlineStr">
        <is>
          <t/>
        </is>
      </c>
      <c r="AM35" s="47" t="inlineStr">
        <is>
          <t>Stockholm</t>
        </is>
      </c>
      <c r="AN35" s="48" t="inlineStr">
        <is>
          <t/>
        </is>
      </c>
      <c r="AO35" s="49" t="inlineStr">
        <is>
          <t>103 13</t>
        </is>
      </c>
      <c r="AP35" s="50" t="inlineStr">
        <is>
          <t>Sweden</t>
        </is>
      </c>
      <c r="AQ35" s="51" t="inlineStr">
        <is>
          <t/>
        </is>
      </c>
      <c r="AR35" s="52" t="inlineStr">
        <is>
          <t/>
        </is>
      </c>
      <c r="AS35" s="53" t="inlineStr">
        <is>
          <t>info@milvik.se</t>
        </is>
      </c>
      <c r="AT35" s="54" t="inlineStr">
        <is>
          <t>Europe</t>
        </is>
      </c>
      <c r="AU35" s="55" t="inlineStr">
        <is>
          <t>Northern Europe</t>
        </is>
      </c>
      <c r="AV35" s="56" t="inlineStr">
        <is>
          <t>The company raised $55.2 million of Series C venture funding from lead investor Axiata Digital on April 10, 2017. Millicom, Kinnevik, Digicel Group and LeapFrog Investments also participated in this round.</t>
        </is>
      </c>
      <c r="AW35" s="57" t="inlineStr">
        <is>
          <t>Axiata, Digicel Group, Kinnevik, Leapfrog Investments, Millicom International Cellular</t>
        </is>
      </c>
      <c r="AX35" s="58" t="n">
        <v>5.0</v>
      </c>
      <c r="AY35" s="59" t="inlineStr">
        <is>
          <t/>
        </is>
      </c>
      <c r="AZ35" s="60" t="inlineStr">
        <is>
          <t/>
        </is>
      </c>
      <c r="BA35" s="61" t="inlineStr">
        <is>
          <t/>
        </is>
      </c>
      <c r="BB35" s="62" t="inlineStr">
        <is>
          <t>Axiata (www.axiata.com), Digicel Group (www.digicelgroup.com), Kinnevik (www.kinnevik.com), Leapfrog Investments (www.leapfroginvest.com), Millicom International Cellular (www.millicom.com)</t>
        </is>
      </c>
      <c r="BC35" s="63" t="inlineStr">
        <is>
          <t/>
        </is>
      </c>
      <c r="BD35" s="64" t="inlineStr">
        <is>
          <t/>
        </is>
      </c>
      <c r="BE35" s="65" t="inlineStr">
        <is>
          <t/>
        </is>
      </c>
      <c r="BF35" s="66" t="inlineStr">
        <is>
          <t/>
        </is>
      </c>
      <c r="BG35" s="67" t="n">
        <v>41326.0</v>
      </c>
      <c r="BH35" s="68" t="n">
        <v>5.23</v>
      </c>
      <c r="BI35" s="69" t="inlineStr">
        <is>
          <t>Actual</t>
        </is>
      </c>
      <c r="BJ35" s="70" t="inlineStr">
        <is>
          <t/>
        </is>
      </c>
      <c r="BK35" s="71" t="inlineStr">
        <is>
          <t/>
        </is>
      </c>
      <c r="BL35" s="72" t="inlineStr">
        <is>
          <t>Early Stage VC</t>
        </is>
      </c>
      <c r="BM35" s="73" t="inlineStr">
        <is>
          <t/>
        </is>
      </c>
      <c r="BN35" s="74" t="inlineStr">
        <is>
          <t/>
        </is>
      </c>
      <c r="BO35" s="75" t="inlineStr">
        <is>
          <t>Venture Capital</t>
        </is>
      </c>
      <c r="BP35" s="76" t="inlineStr">
        <is>
          <t/>
        </is>
      </c>
      <c r="BQ35" s="77" t="inlineStr">
        <is>
          <t/>
        </is>
      </c>
      <c r="BR35" s="78" t="inlineStr">
        <is>
          <t/>
        </is>
      </c>
      <c r="BS35" s="79" t="inlineStr">
        <is>
          <t>Completed</t>
        </is>
      </c>
      <c r="BT35" s="80" t="n">
        <v>42835.0</v>
      </c>
      <c r="BU35" s="81" t="n">
        <v>51.59</v>
      </c>
      <c r="BV35" s="82" t="inlineStr">
        <is>
          <t>Actual</t>
        </is>
      </c>
      <c r="BW35" s="83" t="inlineStr">
        <is>
          <t/>
        </is>
      </c>
      <c r="BX35" s="84" t="inlineStr">
        <is>
          <t/>
        </is>
      </c>
      <c r="BY35" s="85" t="inlineStr">
        <is>
          <t>Later Stage VC</t>
        </is>
      </c>
      <c r="BZ35" s="86" t="inlineStr">
        <is>
          <t>Series C</t>
        </is>
      </c>
      <c r="CA35" s="87" t="inlineStr">
        <is>
          <t/>
        </is>
      </c>
      <c r="CB35" s="88" t="inlineStr">
        <is>
          <t>Venture Capital</t>
        </is>
      </c>
      <c r="CC35" s="89" t="inlineStr">
        <is>
          <t/>
        </is>
      </c>
      <c r="CD35" s="90" t="inlineStr">
        <is>
          <t/>
        </is>
      </c>
      <c r="CE35" s="91" t="inlineStr">
        <is>
          <t/>
        </is>
      </c>
      <c r="CF35" s="92" t="inlineStr">
        <is>
          <t>Completed</t>
        </is>
      </c>
      <c r="CG35" s="93" t="inlineStr">
        <is>
          <t>-1,03%</t>
        </is>
      </c>
      <c r="CH35" s="94" t="inlineStr">
        <is>
          <t>14</t>
        </is>
      </c>
      <c r="CI35" s="95" t="inlineStr">
        <is>
          <t>-0,02%</t>
        </is>
      </c>
      <c r="CJ35" s="96" t="inlineStr">
        <is>
          <t>-1,86%</t>
        </is>
      </c>
      <c r="CK35" s="97" t="inlineStr">
        <is>
          <t>-2,48%</t>
        </is>
      </c>
      <c r="CL35" s="98" t="inlineStr">
        <is>
          <t>13</t>
        </is>
      </c>
      <c r="CM35" s="99" t="inlineStr">
        <is>
          <t>0,41%</t>
        </is>
      </c>
      <c r="CN35" s="100" t="inlineStr">
        <is>
          <t>86</t>
        </is>
      </c>
      <c r="CO35" s="101" t="inlineStr">
        <is>
          <t>-5,27%</t>
        </is>
      </c>
      <c r="CP35" s="102" t="inlineStr">
        <is>
          <t>21</t>
        </is>
      </c>
      <c r="CQ35" s="103" t="inlineStr">
        <is>
          <t>0,31%</t>
        </is>
      </c>
      <c r="CR35" s="104" t="inlineStr">
        <is>
          <t>91</t>
        </is>
      </c>
      <c r="CS35" s="105" t="inlineStr">
        <is>
          <t/>
        </is>
      </c>
      <c r="CT35" s="106" t="inlineStr">
        <is>
          <t/>
        </is>
      </c>
      <c r="CU35" s="107" t="inlineStr">
        <is>
          <t>0,41%</t>
        </is>
      </c>
      <c r="CV35" s="108" t="inlineStr">
        <is>
          <t>88</t>
        </is>
      </c>
      <c r="CW35" s="109" t="inlineStr">
        <is>
          <t>2,80x</t>
        </is>
      </c>
      <c r="CX35" s="110" t="inlineStr">
        <is>
          <t>71</t>
        </is>
      </c>
      <c r="CY35" s="111" t="inlineStr">
        <is>
          <t>0,00x</t>
        </is>
      </c>
      <c r="CZ35" s="112" t="inlineStr">
        <is>
          <t>-0,02%</t>
        </is>
      </c>
      <c r="DA35" s="113" t="inlineStr">
        <is>
          <t>2,97x</t>
        </is>
      </c>
      <c r="DB35" s="114" t="inlineStr">
        <is>
          <t>74</t>
        </is>
      </c>
      <c r="DC35" s="115" t="inlineStr">
        <is>
          <t>2,63x</t>
        </is>
      </c>
      <c r="DD35" s="116" t="inlineStr">
        <is>
          <t>67</t>
        </is>
      </c>
      <c r="DE35" s="117" t="inlineStr">
        <is>
          <t>0,25x</t>
        </is>
      </c>
      <c r="DF35" s="118" t="inlineStr">
        <is>
          <t>18</t>
        </is>
      </c>
      <c r="DG35" s="119" t="inlineStr">
        <is>
          <t>5,69x</t>
        </is>
      </c>
      <c r="DH35" s="120" t="inlineStr">
        <is>
          <t>81</t>
        </is>
      </c>
      <c r="DI35" s="121" t="inlineStr">
        <is>
          <t/>
        </is>
      </c>
      <c r="DJ35" s="122" t="inlineStr">
        <is>
          <t/>
        </is>
      </c>
      <c r="DK35" s="123" t="inlineStr">
        <is>
          <t>2,63x</t>
        </is>
      </c>
      <c r="DL35" s="124" t="inlineStr">
        <is>
          <t>69</t>
        </is>
      </c>
      <c r="DM35" s="125" t="inlineStr">
        <is>
          <t>93</t>
        </is>
      </c>
      <c r="DN35" s="126" t="inlineStr">
        <is>
          <t>3</t>
        </is>
      </c>
      <c r="DO35" s="127" t="inlineStr">
        <is>
          <t>3,33%</t>
        </is>
      </c>
      <c r="DP35" s="128" t="inlineStr">
        <is>
          <t/>
        </is>
      </c>
      <c r="DQ35" s="129" t="inlineStr">
        <is>
          <t/>
        </is>
      </c>
      <c r="DR35" s="130" t="inlineStr">
        <is>
          <t/>
        </is>
      </c>
      <c r="DS35" s="131" t="inlineStr">
        <is>
          <t>204</t>
        </is>
      </c>
      <c r="DT35" s="132" t="inlineStr">
        <is>
          <t>0</t>
        </is>
      </c>
      <c r="DU35" s="133" t="inlineStr">
        <is>
          <t>0,00%</t>
        </is>
      </c>
      <c r="DV35" s="134" t="inlineStr">
        <is>
          <t>983</t>
        </is>
      </c>
      <c r="DW35" s="135" t="inlineStr">
        <is>
          <t>5</t>
        </is>
      </c>
      <c r="DX35" s="136" t="inlineStr">
        <is>
          <t>0,51%</t>
        </is>
      </c>
      <c r="DY35" s="137" t="inlineStr">
        <is>
          <t>PitchBook Research</t>
        </is>
      </c>
      <c r="DZ35" s="785">
        <f>HYPERLINK("https://my.pitchbook.com?c=56161-45", "View company online")</f>
      </c>
    </row>
    <row r="36">
      <c r="A36" s="139" t="inlineStr">
        <is>
          <t>56966-68</t>
        </is>
      </c>
      <c r="B36" s="140" t="inlineStr">
        <is>
          <t>Cubic (Telecom Services)</t>
        </is>
      </c>
      <c r="C36" s="141" t="inlineStr">
        <is>
          <t/>
        </is>
      </c>
      <c r="D36" s="142" t="inlineStr">
        <is>
          <t/>
        </is>
      </c>
      <c r="E36" s="143" t="inlineStr">
        <is>
          <t>56966-68</t>
        </is>
      </c>
      <c r="F36" s="144" t="inlineStr">
        <is>
          <t>Provider of telecommunication services designed to connect people across the globe. The company's telecommunication services offer SIM card-based technologies and core network to manage a broad array of voice and data standards, including LTE, CDMA, UMTS, WiFi and SIP, enabling customers to avail 24/7 support for any major issues.</t>
        </is>
      </c>
      <c r="G36" s="145" t="inlineStr">
        <is>
          <t>Information Technology</t>
        </is>
      </c>
      <c r="H36" s="146" t="inlineStr">
        <is>
          <t>Communications and Networking</t>
        </is>
      </c>
      <c r="I36" s="147" t="inlineStr">
        <is>
          <t>Telecommunications Service Providers</t>
        </is>
      </c>
      <c r="J36" s="148" t="inlineStr">
        <is>
          <t>Telecommunications Service Providers*; Social/Platform Software</t>
        </is>
      </c>
      <c r="K36" s="149" t="inlineStr">
        <is>
          <t>Infrastructure, Mobile, SaaS</t>
        </is>
      </c>
      <c r="L36" s="150" t="inlineStr">
        <is>
          <t>Venture Capital-Backed</t>
        </is>
      </c>
      <c r="M36" s="151" t="n">
        <v>70.98</v>
      </c>
      <c r="N36" s="152" t="inlineStr">
        <is>
          <t>Generating Revenue</t>
        </is>
      </c>
      <c r="O36" s="153" t="inlineStr">
        <is>
          <t>Privately Held (backing)</t>
        </is>
      </c>
      <c r="P36" s="154" t="inlineStr">
        <is>
          <t>Venture Capital</t>
        </is>
      </c>
      <c r="Q36" s="155" t="inlineStr">
        <is>
          <t>www.cubictelecom.com</t>
        </is>
      </c>
      <c r="R36" s="156" t="n">
        <v>90.0</v>
      </c>
      <c r="S36" s="157" t="inlineStr">
        <is>
          <t/>
        </is>
      </c>
      <c r="T36" s="158" t="inlineStr">
        <is>
          <t/>
        </is>
      </c>
      <c r="U36" s="159" t="inlineStr">
        <is>
          <t/>
        </is>
      </c>
      <c r="V36" s="160" t="inlineStr">
        <is>
          <t/>
        </is>
      </c>
      <c r="W36" s="161" t="inlineStr">
        <is>
          <t/>
        </is>
      </c>
      <c r="X36" s="162" t="inlineStr">
        <is>
          <t/>
        </is>
      </c>
      <c r="Y36" s="163" t="inlineStr">
        <is>
          <t/>
        </is>
      </c>
      <c r="Z36" s="164" t="inlineStr">
        <is>
          <t/>
        </is>
      </c>
      <c r="AA36" s="165" t="inlineStr">
        <is>
          <t/>
        </is>
      </c>
      <c r="AB36" s="166" t="inlineStr">
        <is>
          <t/>
        </is>
      </c>
      <c r="AC36" s="167" t="inlineStr">
        <is>
          <t/>
        </is>
      </c>
      <c r="AD36" s="168" t="inlineStr">
        <is>
          <t/>
        </is>
      </c>
      <c r="AE36" s="169" t="inlineStr">
        <is>
          <t>49459-69P</t>
        </is>
      </c>
      <c r="AF36" s="170" t="inlineStr">
        <is>
          <t>Barry Higginbotham</t>
        </is>
      </c>
      <c r="AG36" s="171" t="inlineStr">
        <is>
          <t>Chief Financial Officer</t>
        </is>
      </c>
      <c r="AH36" s="172" t="inlineStr">
        <is>
          <t>barry.higginbotham@cubictelecom.com</t>
        </is>
      </c>
      <c r="AI36" s="173" t="inlineStr">
        <is>
          <t>+353 (0)1 486 0600</t>
        </is>
      </c>
      <c r="AJ36" s="174" t="inlineStr">
        <is>
          <t>Dublin, Ireland</t>
        </is>
      </c>
      <c r="AK36" s="175" t="inlineStr">
        <is>
          <t>Corrig Court, Corrig Road</t>
        </is>
      </c>
      <c r="AL36" s="176" t="inlineStr">
        <is>
          <t>Sandyford Industrial Estate</t>
        </is>
      </c>
      <c r="AM36" s="177" t="inlineStr">
        <is>
          <t>Dublin</t>
        </is>
      </c>
      <c r="AN36" s="178" t="inlineStr">
        <is>
          <t/>
        </is>
      </c>
      <c r="AO36" s="179" t="inlineStr">
        <is>
          <t>18</t>
        </is>
      </c>
      <c r="AP36" s="180" t="inlineStr">
        <is>
          <t>Ireland</t>
        </is>
      </c>
      <c r="AQ36" s="181" t="inlineStr">
        <is>
          <t>+353 (0)1 486 0600</t>
        </is>
      </c>
      <c r="AR36" s="182" t="inlineStr">
        <is>
          <t/>
        </is>
      </c>
      <c r="AS36" s="183" t="inlineStr">
        <is>
          <t>info@cubictelecom.com</t>
        </is>
      </c>
      <c r="AT36" s="184" t="inlineStr">
        <is>
          <t>Europe</t>
        </is>
      </c>
      <c r="AU36" s="185" t="inlineStr">
        <is>
          <t>Western Europe</t>
        </is>
      </c>
      <c r="AV36" s="186" t="inlineStr">
        <is>
          <t>The company received $47 million of financing from Valid Solutions and Services, Audi Ventures and Qualcomm Ventures on August 21, 2017, putting the company's pre-money valuation at $168 million. Ireland Strategic Investment Fund and other undisclosed investors also participated. The funding will be used to expand its team, expand its engineering capabilities in Dublin, bringing more job creation to the company's headquarters and to expand its solution into new markets, specifically China and the rest of Asia and the US. The company till date has raised $88 million.</t>
        </is>
      </c>
      <c r="AW36" s="187" t="inlineStr">
        <is>
          <t>ACT Venture Capital, Audi Electronics Venture, Enterprise Ireland, Individual Investor, Ireland Strategic Investment Fund, Qualcomm Ventures, Sierra Wireless, TPS Investments, Valid Solucoes e Servicos de Seguranca em Meios de Pag</t>
        </is>
      </c>
      <c r="AX36" s="188" t="n">
        <v>9.0</v>
      </c>
      <c r="AY36" s="189" t="inlineStr">
        <is>
          <t/>
        </is>
      </c>
      <c r="AZ36" s="190" t="inlineStr">
        <is>
          <t/>
        </is>
      </c>
      <c r="BA36" s="191" t="inlineStr">
        <is>
          <t/>
        </is>
      </c>
      <c r="BB36" s="192" t="inlineStr">
        <is>
          <t>ACT Venture Capital (www.actventure.com), Audi Electronics Venture (www.audi-electronics-venture.de), Enterprise Ireland (www.enterprise-ireland.com), Ireland Strategic Investment Fund (www.isif.ie), Qualcomm Ventures (www.qualcommventures.com), Sierra Wireless (www.sierrawireless.com), Valid Solucoes e Servicos de Seguranca em Meios de Pag (www.valid.com.br)</t>
        </is>
      </c>
      <c r="BC36" s="193" t="inlineStr">
        <is>
          <t/>
        </is>
      </c>
      <c r="BD36" s="194" t="inlineStr">
        <is>
          <t/>
        </is>
      </c>
      <c r="BE36" s="195" t="inlineStr">
        <is>
          <t>William Fry (Legal Advisor), Gunderson Dettmer (Legal Advisor)</t>
        </is>
      </c>
      <c r="BF36" s="196" t="inlineStr">
        <is>
          <t>KPMG Corporate Finance (Advisor: General), William Fry (Legal Advisor), Gunderson Dettmer (Legal Advisor), Arthur Cox (Legal Advisor), Trasna Consulting (Advisor: General)</t>
        </is>
      </c>
      <c r="BG36" s="197" t="n">
        <v>38353.0</v>
      </c>
      <c r="BH36" s="198" t="n">
        <v>3.5</v>
      </c>
      <c r="BI36" s="199" t="inlineStr">
        <is>
          <t>Actual</t>
        </is>
      </c>
      <c r="BJ36" s="200" t="inlineStr">
        <is>
          <t/>
        </is>
      </c>
      <c r="BK36" s="201" t="inlineStr">
        <is>
          <t/>
        </is>
      </c>
      <c r="BL36" s="202" t="inlineStr">
        <is>
          <t>Seed Round</t>
        </is>
      </c>
      <c r="BM36" s="203" t="inlineStr">
        <is>
          <t>Seed</t>
        </is>
      </c>
      <c r="BN36" s="204" t="inlineStr">
        <is>
          <t/>
        </is>
      </c>
      <c r="BO36" s="205" t="inlineStr">
        <is>
          <t>Individual</t>
        </is>
      </c>
      <c r="BP36" s="206" t="inlineStr">
        <is>
          <t/>
        </is>
      </c>
      <c r="BQ36" s="207" t="inlineStr">
        <is>
          <t/>
        </is>
      </c>
      <c r="BR36" s="208" t="inlineStr">
        <is>
          <t/>
        </is>
      </c>
      <c r="BS36" s="209" t="inlineStr">
        <is>
          <t>Completed</t>
        </is>
      </c>
      <c r="BT36" s="210" t="n">
        <v>42968.0</v>
      </c>
      <c r="BU36" s="211" t="n">
        <v>39.79</v>
      </c>
      <c r="BV36" s="212" t="inlineStr">
        <is>
          <t>Actual</t>
        </is>
      </c>
      <c r="BW36" s="213" t="n">
        <v>182.01</v>
      </c>
      <c r="BX36" s="214" t="inlineStr">
        <is>
          <t>Actual</t>
        </is>
      </c>
      <c r="BY36" s="215" t="inlineStr">
        <is>
          <t>Later Stage VC</t>
        </is>
      </c>
      <c r="BZ36" s="216" t="inlineStr">
        <is>
          <t>Series C</t>
        </is>
      </c>
      <c r="CA36" s="217" t="inlineStr">
        <is>
          <t/>
        </is>
      </c>
      <c r="CB36" s="218" t="inlineStr">
        <is>
          <t>Venture Capital</t>
        </is>
      </c>
      <c r="CC36" s="219" t="inlineStr">
        <is>
          <t/>
        </is>
      </c>
      <c r="CD36" s="220" t="inlineStr">
        <is>
          <t/>
        </is>
      </c>
      <c r="CE36" s="221" t="inlineStr">
        <is>
          <t/>
        </is>
      </c>
      <c r="CF36" s="222" t="inlineStr">
        <is>
          <t>Completed</t>
        </is>
      </c>
      <c r="CG36" s="223" t="inlineStr">
        <is>
          <t>0,09%</t>
        </is>
      </c>
      <c r="CH36" s="224" t="inlineStr">
        <is>
          <t>82</t>
        </is>
      </c>
      <c r="CI36" s="225" t="inlineStr">
        <is>
          <t>-0,01%</t>
        </is>
      </c>
      <c r="CJ36" s="226" t="inlineStr">
        <is>
          <t>-8,61%</t>
        </is>
      </c>
      <c r="CK36" s="227" t="inlineStr">
        <is>
          <t>-0,67%</t>
        </is>
      </c>
      <c r="CL36" s="228" t="inlineStr">
        <is>
          <t>22</t>
        </is>
      </c>
      <c r="CM36" s="229" t="inlineStr">
        <is>
          <t>0,38%</t>
        </is>
      </c>
      <c r="CN36" s="230" t="inlineStr">
        <is>
          <t>84</t>
        </is>
      </c>
      <c r="CO36" s="231" t="inlineStr">
        <is>
          <t>-0,06%</t>
        </is>
      </c>
      <c r="CP36" s="232" t="inlineStr">
        <is>
          <t>37</t>
        </is>
      </c>
      <c r="CQ36" s="233" t="inlineStr">
        <is>
          <t>-1,29%</t>
        </is>
      </c>
      <c r="CR36" s="234" t="inlineStr">
        <is>
          <t>7</t>
        </is>
      </c>
      <c r="CS36" s="235" t="inlineStr">
        <is>
          <t>0,25%</t>
        </is>
      </c>
      <c r="CT36" s="236" t="inlineStr">
        <is>
          <t>74</t>
        </is>
      </c>
      <c r="CU36" s="237" t="inlineStr">
        <is>
          <t>0,51%</t>
        </is>
      </c>
      <c r="CV36" s="238" t="inlineStr">
        <is>
          <t>91</t>
        </is>
      </c>
      <c r="CW36" s="239" t="inlineStr">
        <is>
          <t>2,96x</t>
        </is>
      </c>
      <c r="CX36" s="240" t="inlineStr">
        <is>
          <t>72</t>
        </is>
      </c>
      <c r="CY36" s="241" t="inlineStr">
        <is>
          <t>-0,03x</t>
        </is>
      </c>
      <c r="CZ36" s="242" t="inlineStr">
        <is>
          <t>-1,00%</t>
        </is>
      </c>
      <c r="DA36" s="243" t="inlineStr">
        <is>
          <t>6,68x</t>
        </is>
      </c>
      <c r="DB36" s="244" t="inlineStr">
        <is>
          <t>85</t>
        </is>
      </c>
      <c r="DC36" s="245" t="inlineStr">
        <is>
          <t>1,90x</t>
        </is>
      </c>
      <c r="DD36" s="246" t="inlineStr">
        <is>
          <t>61</t>
        </is>
      </c>
      <c r="DE36" s="247" t="inlineStr">
        <is>
          <t>4,03x</t>
        </is>
      </c>
      <c r="DF36" s="248" t="inlineStr">
        <is>
          <t>78</t>
        </is>
      </c>
      <c r="DG36" s="249" t="inlineStr">
        <is>
          <t>9,33x</t>
        </is>
      </c>
      <c r="DH36" s="250" t="inlineStr">
        <is>
          <t>86</t>
        </is>
      </c>
      <c r="DI36" s="251" t="inlineStr">
        <is>
          <t>0,26x</t>
        </is>
      </c>
      <c r="DJ36" s="252" t="inlineStr">
        <is>
          <t>28</t>
        </is>
      </c>
      <c r="DK36" s="253" t="inlineStr">
        <is>
          <t>3,53x</t>
        </is>
      </c>
      <c r="DL36" s="254" t="inlineStr">
        <is>
          <t>74</t>
        </is>
      </c>
      <c r="DM36" s="255" t="inlineStr">
        <is>
          <t>1.457</t>
        </is>
      </c>
      <c r="DN36" s="256" t="inlineStr">
        <is>
          <t>115</t>
        </is>
      </c>
      <c r="DO36" s="257" t="inlineStr">
        <is>
          <t>8,57%</t>
        </is>
      </c>
      <c r="DP36" s="258" t="inlineStr">
        <is>
          <t>203</t>
        </is>
      </c>
      <c r="DQ36" s="259" t="inlineStr">
        <is>
          <t>1</t>
        </is>
      </c>
      <c r="DR36" s="260" t="inlineStr">
        <is>
          <t>0,50%</t>
        </is>
      </c>
      <c r="DS36" s="261" t="inlineStr">
        <is>
          <t>338</t>
        </is>
      </c>
      <c r="DT36" s="262" t="inlineStr">
        <is>
          <t>-4</t>
        </is>
      </c>
      <c r="DU36" s="263" t="inlineStr">
        <is>
          <t>-1,17%</t>
        </is>
      </c>
      <c r="DV36" s="264" t="inlineStr">
        <is>
          <t>1.323</t>
        </is>
      </c>
      <c r="DW36" s="265" t="inlineStr">
        <is>
          <t>4</t>
        </is>
      </c>
      <c r="DX36" s="266" t="inlineStr">
        <is>
          <t>0,30%</t>
        </is>
      </c>
      <c r="DY36" s="267" t="inlineStr">
        <is>
          <t>PitchBook Research</t>
        </is>
      </c>
      <c r="DZ36" s="786">
        <f>HYPERLINK("https://my.pitchbook.com?c=56966-68", "View company online")</f>
      </c>
    </row>
    <row r="37">
      <c r="A37" s="9" t="inlineStr">
        <is>
          <t>56075-50</t>
        </is>
      </c>
      <c r="B37" s="10" t="inlineStr">
        <is>
          <t>Collibra</t>
        </is>
      </c>
      <c r="C37" s="11" t="inlineStr">
        <is>
          <t/>
        </is>
      </c>
      <c r="D37" s="12" t="inlineStr">
        <is>
          <t/>
        </is>
      </c>
      <c r="E37" s="13" t="inlineStr">
        <is>
          <t>56075-50</t>
        </is>
      </c>
      <c r="F37" s="14" t="inlineStr">
        <is>
          <t>Provider of data governance software for organizations. The company offers business semantics glossary, a web-based collaborative business to information technology (IT) data governance platform with capabilities to manage business definitions, relations and rules.</t>
        </is>
      </c>
      <c r="G37" s="15" t="inlineStr">
        <is>
          <t>Information Technology</t>
        </is>
      </c>
      <c r="H37" s="16" t="inlineStr">
        <is>
          <t>Software</t>
        </is>
      </c>
      <c r="I37" s="17" t="inlineStr">
        <is>
          <t>Business/Productivity Software</t>
        </is>
      </c>
      <c r="J37" s="18" t="inlineStr">
        <is>
          <t>Business/Productivity Software*; Automation/Workflow Software; Database Software</t>
        </is>
      </c>
      <c r="K37" s="19" t="inlineStr">
        <is>
          <t>SaaS</t>
        </is>
      </c>
      <c r="L37" s="20" t="inlineStr">
        <is>
          <t>Venture Capital-Backed</t>
        </is>
      </c>
      <c r="M37" s="21" t="n">
        <v>69.76</v>
      </c>
      <c r="N37" s="22" t="inlineStr">
        <is>
          <t>Profitable</t>
        </is>
      </c>
      <c r="O37" s="23" t="inlineStr">
        <is>
          <t>Privately Held (backing)</t>
        </is>
      </c>
      <c r="P37" s="24" t="inlineStr">
        <is>
          <t>Venture Capital</t>
        </is>
      </c>
      <c r="Q37" s="25" t="inlineStr">
        <is>
          <t>www.collibra.com</t>
        </is>
      </c>
      <c r="R37" s="26" t="n">
        <v>35.0</v>
      </c>
      <c r="S37" s="27" t="inlineStr">
        <is>
          <t/>
        </is>
      </c>
      <c r="T37" s="28" t="inlineStr">
        <is>
          <t/>
        </is>
      </c>
      <c r="U37" s="29" t="n">
        <v>2008.0</v>
      </c>
      <c r="V37" s="30" t="inlineStr">
        <is>
          <t/>
        </is>
      </c>
      <c r="W37" s="31" t="inlineStr">
        <is>
          <t/>
        </is>
      </c>
      <c r="X37" s="32" t="inlineStr">
        <is>
          <r>
            <rPr>
              <b/>
              <color rgb="ff26854d"/>
              <rFont val="Arial"/>
              <sz val="8.0"/>
            </rPr>
            <t>Competitor</t>
          </r>
          <r>
            <rPr>
              <color rgb="ff707070"/>
              <rFont val="Arial"/>
              <sz val="7.0"/>
            </rPr>
            <t xml:space="preserve"> NEW  </t>
          </r>
          <r>
            <rPr>
              <color rgb="ff000000"/>
              <rFont val="Arial"/>
              <sz val="8.0"/>
            </rPr>
            <t>Alation</t>
          </r>
        </is>
      </c>
      <c r="Y37" s="33" t="n">
        <v>2.66866</v>
      </c>
      <c r="Z37" s="34" t="inlineStr">
        <is>
          <t/>
        </is>
      </c>
      <c r="AA37" s="35" t="inlineStr">
        <is>
          <t/>
        </is>
      </c>
      <c r="AB37" s="36" t="inlineStr">
        <is>
          <t/>
        </is>
      </c>
      <c r="AC37" s="37" t="n">
        <v>-12.5936</v>
      </c>
      <c r="AD37" s="38" t="inlineStr">
        <is>
          <t>FY 2016</t>
        </is>
      </c>
      <c r="AE37" s="39" t="inlineStr">
        <is>
          <t>47238-58P</t>
        </is>
      </c>
      <c r="AF37" s="40" t="inlineStr">
        <is>
          <t>Felix Van de Maele</t>
        </is>
      </c>
      <c r="AG37" s="41" t="inlineStr">
        <is>
          <t>Co-Founder, Chief Executive Officer &amp; Board Member</t>
        </is>
      </c>
      <c r="AH37" s="42" t="inlineStr">
        <is>
          <t>felix@collibra.com</t>
        </is>
      </c>
      <c r="AI37" s="43" t="inlineStr">
        <is>
          <t>+32 (0)2 894 79 60</t>
        </is>
      </c>
      <c r="AJ37" s="44" t="inlineStr">
        <is>
          <t>Brussels, Belgium</t>
        </is>
      </c>
      <c r="AK37" s="45" t="inlineStr">
        <is>
          <t>Oorlogskruisenlaan 116</t>
        </is>
      </c>
      <c r="AL37" s="46" t="inlineStr">
        <is>
          <t/>
        </is>
      </c>
      <c r="AM37" s="47" t="inlineStr">
        <is>
          <t>Brussels</t>
        </is>
      </c>
      <c r="AN37" s="48" t="inlineStr">
        <is>
          <t/>
        </is>
      </c>
      <c r="AO37" s="49" t="inlineStr">
        <is>
          <t>1120</t>
        </is>
      </c>
      <c r="AP37" s="50" t="inlineStr">
        <is>
          <t>Belgium</t>
        </is>
      </c>
      <c r="AQ37" s="51" t="inlineStr">
        <is>
          <t>+32 (0)2 894 79 60</t>
        </is>
      </c>
      <c r="AR37" s="52" t="inlineStr">
        <is>
          <t>+32 (0)2 706 56 76</t>
        </is>
      </c>
      <c r="AS37" s="53" t="inlineStr">
        <is>
          <t>contact@collibra.com</t>
        </is>
      </c>
      <c r="AT37" s="54" t="inlineStr">
        <is>
          <t>Europe</t>
        </is>
      </c>
      <c r="AU37" s="55" t="inlineStr">
        <is>
          <t>Western Europe</t>
        </is>
      </c>
      <c r="AV37" s="56" t="inlineStr">
        <is>
          <t>The company raised $50 million of Series C venture funding in a round led by ICONIQ Capital on January 18, 2017, putting the company's pre-money valuation at an estimated $600 million. Battery Ventures, Dawn Capital, Index Ventures and Newion Investments also participated in this round. This latest investment will help the company to fuel its rapid growth and industry leadership as a premier provider of data governance solutions. To date, Collibra has secured more than $75 million in venture funding.</t>
        </is>
      </c>
      <c r="AW37" s="57" t="inlineStr">
        <is>
          <t>Battery Ventures, BI3 Solutions, Brustart, Dawn Capital, ICONIQ Capital, Index Ventures (UK), Newion Investment Management</t>
        </is>
      </c>
      <c r="AX37" s="58" t="n">
        <v>7.0</v>
      </c>
      <c r="AY37" s="59" t="inlineStr">
        <is>
          <t/>
        </is>
      </c>
      <c r="AZ37" s="60" t="inlineStr">
        <is>
          <t/>
        </is>
      </c>
      <c r="BA37" s="61" t="inlineStr">
        <is>
          <t/>
        </is>
      </c>
      <c r="BB37" s="62" t="inlineStr">
        <is>
          <t>Battery Ventures (www.battery.com), Dawn Capital (www.dawncapital.com), ICONIQ Capital (www.iconiqcapital.com), Index Ventures (UK) (www.indexventures.com), Newion Investment Management (www.newion-investments.com)</t>
        </is>
      </c>
      <c r="BC37" s="63" t="inlineStr">
        <is>
          <t/>
        </is>
      </c>
      <c r="BD37" s="64" t="inlineStr">
        <is>
          <t/>
        </is>
      </c>
      <c r="BE37" s="65" t="inlineStr">
        <is>
          <t>Daversa Partners (Consulting), EY (Auditor)</t>
        </is>
      </c>
      <c r="BF37" s="66" t="inlineStr">
        <is>
          <t/>
        </is>
      </c>
      <c r="BG37" s="67" t="n">
        <v>39569.0</v>
      </c>
      <c r="BH37" s="68" t="n">
        <v>0.85</v>
      </c>
      <c r="BI37" s="69" t="inlineStr">
        <is>
          <t>Actual</t>
        </is>
      </c>
      <c r="BJ37" s="70" t="inlineStr">
        <is>
          <t/>
        </is>
      </c>
      <c r="BK37" s="71" t="inlineStr">
        <is>
          <t/>
        </is>
      </c>
      <c r="BL37" s="72" t="inlineStr">
        <is>
          <t>Seed Round</t>
        </is>
      </c>
      <c r="BM37" s="73" t="inlineStr">
        <is>
          <t>Seed</t>
        </is>
      </c>
      <c r="BN37" s="74" t="inlineStr">
        <is>
          <t/>
        </is>
      </c>
      <c r="BO37" s="75" t="inlineStr">
        <is>
          <t>Venture Capital</t>
        </is>
      </c>
      <c r="BP37" s="76" t="inlineStr">
        <is>
          <t/>
        </is>
      </c>
      <c r="BQ37" s="77" t="inlineStr">
        <is>
          <t/>
        </is>
      </c>
      <c r="BR37" s="78" t="inlineStr">
        <is>
          <t/>
        </is>
      </c>
      <c r="BS37" s="79" t="inlineStr">
        <is>
          <t>Completed</t>
        </is>
      </c>
      <c r="BT37" s="80" t="n">
        <v>42753.0</v>
      </c>
      <c r="BU37" s="81" t="n">
        <v>47.09</v>
      </c>
      <c r="BV37" s="82" t="inlineStr">
        <is>
          <t>Actual</t>
        </is>
      </c>
      <c r="BW37" s="83" t="n">
        <v>612.13</v>
      </c>
      <c r="BX37" s="84" t="inlineStr">
        <is>
          <t>Estimated</t>
        </is>
      </c>
      <c r="BY37" s="85" t="inlineStr">
        <is>
          <t>Later Stage VC</t>
        </is>
      </c>
      <c r="BZ37" s="86" t="inlineStr">
        <is>
          <t>Series C</t>
        </is>
      </c>
      <c r="CA37" s="87" t="inlineStr">
        <is>
          <t/>
        </is>
      </c>
      <c r="CB37" s="88" t="inlineStr">
        <is>
          <t>Venture Capital</t>
        </is>
      </c>
      <c r="CC37" s="89" t="inlineStr">
        <is>
          <t/>
        </is>
      </c>
      <c r="CD37" s="90" t="inlineStr">
        <is>
          <t/>
        </is>
      </c>
      <c r="CE37" s="91" t="inlineStr">
        <is>
          <t/>
        </is>
      </c>
      <c r="CF37" s="92" t="inlineStr">
        <is>
          <t>Completed</t>
        </is>
      </c>
      <c r="CG37" s="93" t="inlineStr">
        <is>
          <t>-2,16%</t>
        </is>
      </c>
      <c r="CH37" s="94" t="inlineStr">
        <is>
          <t>9</t>
        </is>
      </c>
      <c r="CI37" s="95" t="inlineStr">
        <is>
          <t>-0,02%</t>
        </is>
      </c>
      <c r="CJ37" s="96" t="inlineStr">
        <is>
          <t>-1,09%</t>
        </is>
      </c>
      <c r="CK37" s="97" t="inlineStr">
        <is>
          <t>-4,42%</t>
        </is>
      </c>
      <c r="CL37" s="98" t="inlineStr">
        <is>
          <t>9</t>
        </is>
      </c>
      <c r="CM37" s="99" t="inlineStr">
        <is>
          <t>0,09%</t>
        </is>
      </c>
      <c r="CN37" s="100" t="inlineStr">
        <is>
          <t>57</t>
        </is>
      </c>
      <c r="CO37" s="101" t="inlineStr">
        <is>
          <t>-9,16%</t>
        </is>
      </c>
      <c r="CP37" s="102" t="inlineStr">
        <is>
          <t>14</t>
        </is>
      </c>
      <c r="CQ37" s="103" t="inlineStr">
        <is>
          <t>0,32%</t>
        </is>
      </c>
      <c r="CR37" s="104" t="inlineStr">
        <is>
          <t>91</t>
        </is>
      </c>
      <c r="CS37" s="105" t="inlineStr">
        <is>
          <t>0,00%</t>
        </is>
      </c>
      <c r="CT37" s="106" t="inlineStr">
        <is>
          <t>18</t>
        </is>
      </c>
      <c r="CU37" s="107" t="inlineStr">
        <is>
          <t>0,19%</t>
        </is>
      </c>
      <c r="CV37" s="108" t="inlineStr">
        <is>
          <t>75</t>
        </is>
      </c>
      <c r="CW37" s="109" t="inlineStr">
        <is>
          <t>8,68x</t>
        </is>
      </c>
      <c r="CX37" s="110" t="inlineStr">
        <is>
          <t>86</t>
        </is>
      </c>
      <c r="CY37" s="111" t="inlineStr">
        <is>
          <t>-2,58x</t>
        </is>
      </c>
      <c r="CZ37" s="112" t="inlineStr">
        <is>
          <t>-22,90%</t>
        </is>
      </c>
      <c r="DA37" s="113" t="inlineStr">
        <is>
          <t>12,17x</t>
        </is>
      </c>
      <c r="DB37" s="114" t="inlineStr">
        <is>
          <t>91</t>
        </is>
      </c>
      <c r="DC37" s="115" t="inlineStr">
        <is>
          <t>5,19x</t>
        </is>
      </c>
      <c r="DD37" s="116" t="inlineStr">
        <is>
          <t>77</t>
        </is>
      </c>
      <c r="DE37" s="117" t="inlineStr">
        <is>
          <t>10,21x</t>
        </is>
      </c>
      <c r="DF37" s="118" t="inlineStr">
        <is>
          <t>88</t>
        </is>
      </c>
      <c r="DG37" s="119" t="inlineStr">
        <is>
          <t>14,14x</t>
        </is>
      </c>
      <c r="DH37" s="120" t="inlineStr">
        <is>
          <t>90</t>
        </is>
      </c>
      <c r="DI37" s="121" t="inlineStr">
        <is>
          <t>0,10x</t>
        </is>
      </c>
      <c r="DJ37" s="122" t="inlineStr">
        <is>
          <t>14</t>
        </is>
      </c>
      <c r="DK37" s="123" t="inlineStr">
        <is>
          <t>10,28x</t>
        </is>
      </c>
      <c r="DL37" s="124" t="inlineStr">
        <is>
          <t>87</t>
        </is>
      </c>
      <c r="DM37" s="125" t="inlineStr">
        <is>
          <t>3.774</t>
        </is>
      </c>
      <c r="DN37" s="126" t="inlineStr">
        <is>
          <t>66</t>
        </is>
      </c>
      <c r="DO37" s="127" t="inlineStr">
        <is>
          <t>1,78%</t>
        </is>
      </c>
      <c r="DP37" s="128" t="inlineStr">
        <is>
          <t>78</t>
        </is>
      </c>
      <c r="DQ37" s="129" t="inlineStr">
        <is>
          <t>1</t>
        </is>
      </c>
      <c r="DR37" s="130" t="inlineStr">
        <is>
          <t>1,30%</t>
        </is>
      </c>
      <c r="DS37" s="131" t="inlineStr">
        <is>
          <t>508</t>
        </is>
      </c>
      <c r="DT37" s="132" t="inlineStr">
        <is>
          <t>2</t>
        </is>
      </c>
      <c r="DU37" s="133" t="inlineStr">
        <is>
          <t>0,40%</t>
        </is>
      </c>
      <c r="DV37" s="134" t="inlineStr">
        <is>
          <t>3.844</t>
        </is>
      </c>
      <c r="DW37" s="135" t="inlineStr">
        <is>
          <t>8</t>
        </is>
      </c>
      <c r="DX37" s="136" t="inlineStr">
        <is>
          <t>0,21%</t>
        </is>
      </c>
      <c r="DY37" s="137" t="inlineStr">
        <is>
          <t>PitchBook Research</t>
        </is>
      </c>
      <c r="DZ37" s="785">
        <f>HYPERLINK("https://my.pitchbook.com?c=56075-50", "View company online")</f>
      </c>
    </row>
    <row r="38">
      <c r="A38" s="139" t="inlineStr">
        <is>
          <t>122849-92</t>
        </is>
      </c>
      <c r="B38" s="140" t="inlineStr">
        <is>
          <t>Movinga</t>
        </is>
      </c>
      <c r="C38" s="141" t="inlineStr">
        <is>
          <t/>
        </is>
      </c>
      <c r="D38" s="142" t="inlineStr">
        <is>
          <t/>
        </is>
      </c>
      <c r="E38" s="143" t="inlineStr">
        <is>
          <t>122849-92</t>
        </is>
      </c>
      <c r="F38" s="144" t="inlineStr">
        <is>
          <t>Provider of a relocation services platform intended to simplify moving across Europe. The company's relocation services platform provides secure transportation and logistics services for moving belongings, enabling users to conveniently move within and across European cities.</t>
        </is>
      </c>
      <c r="G38" s="145" t="inlineStr">
        <is>
          <t>Information Technology</t>
        </is>
      </c>
      <c r="H38" s="146" t="inlineStr">
        <is>
          <t>Software</t>
        </is>
      </c>
      <c r="I38" s="147" t="inlineStr">
        <is>
          <t>Social/Platform Software</t>
        </is>
      </c>
      <c r="J38" s="148" t="inlineStr">
        <is>
          <t>Social/Platform Software*; Logistics</t>
        </is>
      </c>
      <c r="K38" s="149" t="inlineStr">
        <is>
          <t>Mobile</t>
        </is>
      </c>
      <c r="L38" s="150" t="inlineStr">
        <is>
          <t>Venture Capital-Backed</t>
        </is>
      </c>
      <c r="M38" s="151" t="n">
        <v>68.0</v>
      </c>
      <c r="N38" s="152" t="inlineStr">
        <is>
          <t>Generating Revenue</t>
        </is>
      </c>
      <c r="O38" s="153" t="inlineStr">
        <is>
          <t>Privately Held (backing)</t>
        </is>
      </c>
      <c r="P38" s="154" t="inlineStr">
        <is>
          <t>Venture Capital</t>
        </is>
      </c>
      <c r="Q38" s="155" t="inlineStr">
        <is>
          <t>www.movinga.de</t>
        </is>
      </c>
      <c r="R38" s="156" t="n">
        <v>500.0</v>
      </c>
      <c r="S38" s="157" t="inlineStr">
        <is>
          <t/>
        </is>
      </c>
      <c r="T38" s="158" t="inlineStr">
        <is>
          <t/>
        </is>
      </c>
      <c r="U38" s="159" t="n">
        <v>2015.0</v>
      </c>
      <c r="V38" s="160" t="inlineStr">
        <is>
          <t/>
        </is>
      </c>
      <c r="W38" s="161" t="inlineStr">
        <is>
          <t/>
        </is>
      </c>
      <c r="X38" s="162" t="inlineStr">
        <is>
          <t/>
        </is>
      </c>
      <c r="Y38" s="163" t="n">
        <v>18.99905</v>
      </c>
      <c r="Z38" s="164" t="inlineStr">
        <is>
          <t/>
        </is>
      </c>
      <c r="AA38" s="165" t="inlineStr">
        <is>
          <t/>
        </is>
      </c>
      <c r="AB38" s="166" t="inlineStr">
        <is>
          <t/>
        </is>
      </c>
      <c r="AC38" s="167" t="inlineStr">
        <is>
          <t/>
        </is>
      </c>
      <c r="AD38" s="168" t="inlineStr">
        <is>
          <t>FY 2017</t>
        </is>
      </c>
      <c r="AE38" s="169" t="inlineStr">
        <is>
          <t/>
        </is>
      </c>
      <c r="AF38" s="170" t="inlineStr">
        <is>
          <t/>
        </is>
      </c>
      <c r="AG38" s="171" t="inlineStr">
        <is>
          <t/>
        </is>
      </c>
      <c r="AH38" s="172" t="inlineStr">
        <is>
          <t/>
        </is>
      </c>
      <c r="AI38" s="173" t="inlineStr">
        <is>
          <t/>
        </is>
      </c>
      <c r="AJ38" s="174" t="inlineStr">
        <is>
          <t>Berlin, Germany</t>
        </is>
      </c>
      <c r="AK38" s="175" t="inlineStr">
        <is>
          <t>Sonnenburger Straße 73</t>
        </is>
      </c>
      <c r="AL38" s="176" t="inlineStr">
        <is>
          <t/>
        </is>
      </c>
      <c r="AM38" s="177" t="inlineStr">
        <is>
          <t>Berlin</t>
        </is>
      </c>
      <c r="AN38" s="178" t="inlineStr">
        <is>
          <t/>
        </is>
      </c>
      <c r="AO38" s="179" t="inlineStr">
        <is>
          <t>10437</t>
        </is>
      </c>
      <c r="AP38" s="180" t="inlineStr">
        <is>
          <t>Germany</t>
        </is>
      </c>
      <c r="AQ38" s="181" t="inlineStr">
        <is>
          <t>+49 (0)30 2219 5022</t>
        </is>
      </c>
      <c r="AR38" s="182" t="inlineStr">
        <is>
          <t/>
        </is>
      </c>
      <c r="AS38" s="183" t="inlineStr">
        <is>
          <t>info@movinga.de</t>
        </is>
      </c>
      <c r="AT38" s="184" t="inlineStr">
        <is>
          <t>Europe</t>
        </is>
      </c>
      <c r="AU38" s="185" t="inlineStr">
        <is>
          <t>Western Europe</t>
        </is>
      </c>
      <c r="AV38" s="186" t="inlineStr">
        <is>
          <t>The company raised an estimated EUR 22 million of venture funding in a deal led by Santo Venture Capital on October 19, 2017. Earlybird Venture Capital, Harbert Management and Rocket Internet also participated in the round. The company intends to use the funds to further invest in its technology platform to concentrate on in-city relocations and expand to Scandinavia or Benelux. As part of the transaction Santo Venture Capital's backing will be provided in two tranches of EUR 9 million up front and an additional EUR 9 million due in Spring 2018 if certain milestones are reached. Earlybird and Rocket are investing EUR 4.4 in this round.</t>
        </is>
      </c>
      <c r="AW38" s="187" t="inlineStr">
        <is>
          <t>Carlo Kolzer, Christian Vollmann, David Khalil, Earlybird Venture Capital, Florian Heinemann, Gert Purkert, Global Founders Capital, Harbert Management, Heilemann Ventures, Index Ventures (UK), Jan Kemper, Lukas Brosseder, Marco Vietor, Philipp Kreibohm, Rocket Internet, Rocket Ventures, Santo Venture Capital, STS Ventures, Tim Marbach</t>
        </is>
      </c>
      <c r="AX38" s="188" t="n">
        <v>19.0</v>
      </c>
      <c r="AY38" s="189" t="inlineStr">
        <is>
          <t/>
        </is>
      </c>
      <c r="AZ38" s="190" t="inlineStr">
        <is>
          <t/>
        </is>
      </c>
      <c r="BA38" s="191" t="inlineStr">
        <is>
          <t/>
        </is>
      </c>
      <c r="BB38" s="192" t="inlineStr">
        <is>
          <t>Earlybird Venture Capital (www.earlybird.com), Global Founders Capital (www.globalfounders.vc), Harbert Management (www.harbert.net), Heilemann Ventures (www.heilemann-ventures.com), Index Ventures (UK) (www.indexventures.com), Rocket Internet (www.rocket-internet.com), Rocket Ventures (www.rocketventures.com), STS Ventures (www.sts-ventures.de)</t>
        </is>
      </c>
      <c r="BC38" s="193" t="inlineStr">
        <is>
          <t/>
        </is>
      </c>
      <c r="BD38" s="194" t="inlineStr">
        <is>
          <t/>
        </is>
      </c>
      <c r="BE38" s="195" t="inlineStr">
        <is>
          <t>Morrison &amp; Foerster (Legal Advisor)</t>
        </is>
      </c>
      <c r="BF38" s="196" t="inlineStr">
        <is>
          <t>P+P Pöllath + Partners (Legal Advisor), Morrison &amp; Foerster (Legal Advisor)</t>
        </is>
      </c>
      <c r="BG38" s="197" t="n">
        <v>42242.0</v>
      </c>
      <c r="BH38" s="198" t="n">
        <v>6.0</v>
      </c>
      <c r="BI38" s="199" t="inlineStr">
        <is>
          <t>Actual</t>
        </is>
      </c>
      <c r="BJ38" s="200" t="inlineStr">
        <is>
          <t/>
        </is>
      </c>
      <c r="BK38" s="201" t="inlineStr">
        <is>
          <t/>
        </is>
      </c>
      <c r="BL38" s="202" t="inlineStr">
        <is>
          <t>Early Stage VC</t>
        </is>
      </c>
      <c r="BM38" s="203" t="inlineStr">
        <is>
          <t/>
        </is>
      </c>
      <c r="BN38" s="204" t="inlineStr">
        <is>
          <t/>
        </is>
      </c>
      <c r="BO38" s="205" t="inlineStr">
        <is>
          <t>Venture Capital</t>
        </is>
      </c>
      <c r="BP38" s="206" t="inlineStr">
        <is>
          <t/>
        </is>
      </c>
      <c r="BQ38" s="207" t="inlineStr">
        <is>
          <t/>
        </is>
      </c>
      <c r="BR38" s="208" t="inlineStr">
        <is>
          <t/>
        </is>
      </c>
      <c r="BS38" s="209" t="inlineStr">
        <is>
          <t>Completed</t>
        </is>
      </c>
      <c r="BT38" s="210" t="n">
        <v>43027.0</v>
      </c>
      <c r="BU38" s="211" t="n">
        <v>22.0</v>
      </c>
      <c r="BV38" s="212" t="inlineStr">
        <is>
          <t>Estimated</t>
        </is>
      </c>
      <c r="BW38" s="213" t="inlineStr">
        <is>
          <t/>
        </is>
      </c>
      <c r="BX38" s="214" t="inlineStr">
        <is>
          <t/>
        </is>
      </c>
      <c r="BY38" s="215" t="inlineStr">
        <is>
          <t>Later Stage VC</t>
        </is>
      </c>
      <c r="BZ38" s="216" t="inlineStr">
        <is>
          <t/>
        </is>
      </c>
      <c r="CA38" s="217" t="inlineStr">
        <is>
          <t/>
        </is>
      </c>
      <c r="CB38" s="218" t="inlineStr">
        <is>
          <t>Venture Capital</t>
        </is>
      </c>
      <c r="CC38" s="219" t="inlineStr">
        <is>
          <t/>
        </is>
      </c>
      <c r="CD38" s="220" t="inlineStr">
        <is>
          <t/>
        </is>
      </c>
      <c r="CE38" s="221" t="inlineStr">
        <is>
          <t/>
        </is>
      </c>
      <c r="CF38" s="222" t="inlineStr">
        <is>
          <t>Completed</t>
        </is>
      </c>
      <c r="CG38" s="223" t="inlineStr">
        <is>
          <t>-4,61%</t>
        </is>
      </c>
      <c r="CH38" s="224" t="inlineStr">
        <is>
          <t>4</t>
        </is>
      </c>
      <c r="CI38" s="225" t="inlineStr">
        <is>
          <t>0,16%</t>
        </is>
      </c>
      <c r="CJ38" s="226" t="inlineStr">
        <is>
          <t>3,36%</t>
        </is>
      </c>
      <c r="CK38" s="227" t="inlineStr">
        <is>
          <t>-11,46%</t>
        </is>
      </c>
      <c r="CL38" s="228" t="inlineStr">
        <is>
          <t>3</t>
        </is>
      </c>
      <c r="CM38" s="229" t="inlineStr">
        <is>
          <t>2,25%</t>
        </is>
      </c>
      <c r="CN38" s="230" t="inlineStr">
        <is>
          <t>99</t>
        </is>
      </c>
      <c r="CO38" s="231" t="inlineStr">
        <is>
          <t>-23,15%</t>
        </is>
      </c>
      <c r="CP38" s="232" t="inlineStr">
        <is>
          <t>4</t>
        </is>
      </c>
      <c r="CQ38" s="233" t="inlineStr">
        <is>
          <t>0,22%</t>
        </is>
      </c>
      <c r="CR38" s="234" t="inlineStr">
        <is>
          <t>90</t>
        </is>
      </c>
      <c r="CS38" s="235" t="inlineStr">
        <is>
          <t>-0,06%</t>
        </is>
      </c>
      <c r="CT38" s="236" t="inlineStr">
        <is>
          <t>6</t>
        </is>
      </c>
      <c r="CU38" s="237" t="inlineStr">
        <is>
          <t>4,56%</t>
        </is>
      </c>
      <c r="CV38" s="238" t="inlineStr">
        <is>
          <t>100</t>
        </is>
      </c>
      <c r="CW38" s="239" t="inlineStr">
        <is>
          <t>7,33x</t>
        </is>
      </c>
      <c r="CX38" s="240" t="inlineStr">
        <is>
          <t>85</t>
        </is>
      </c>
      <c r="CY38" s="241" t="inlineStr">
        <is>
          <t>0,02x</t>
        </is>
      </c>
      <c r="CZ38" s="242" t="inlineStr">
        <is>
          <t>0,29%</t>
        </is>
      </c>
      <c r="DA38" s="243" t="inlineStr">
        <is>
          <t>6,40x</t>
        </is>
      </c>
      <c r="DB38" s="244" t="inlineStr">
        <is>
          <t>84</t>
        </is>
      </c>
      <c r="DC38" s="245" t="inlineStr">
        <is>
          <t>8,27x</t>
        </is>
      </c>
      <c r="DD38" s="246" t="inlineStr">
        <is>
          <t>82</t>
        </is>
      </c>
      <c r="DE38" s="247" t="inlineStr">
        <is>
          <t>0,18x</t>
        </is>
      </c>
      <c r="DF38" s="248" t="inlineStr">
        <is>
          <t>10</t>
        </is>
      </c>
      <c r="DG38" s="249" t="inlineStr">
        <is>
          <t>12,61x</t>
        </is>
      </c>
      <c r="DH38" s="250" t="inlineStr">
        <is>
          <t>89</t>
        </is>
      </c>
      <c r="DI38" s="251" t="inlineStr">
        <is>
          <t>13,67x</t>
        </is>
      </c>
      <c r="DJ38" s="252" t="inlineStr">
        <is>
          <t>84</t>
        </is>
      </c>
      <c r="DK38" s="253" t="inlineStr">
        <is>
          <t>2,87x</t>
        </is>
      </c>
      <c r="DL38" s="254" t="inlineStr">
        <is>
          <t>70</t>
        </is>
      </c>
      <c r="DM38" s="255" t="inlineStr">
        <is>
          <t>67</t>
        </is>
      </c>
      <c r="DN38" s="256" t="inlineStr">
        <is>
          <t>-4</t>
        </is>
      </c>
      <c r="DO38" s="257" t="inlineStr">
        <is>
          <t>-5,63%</t>
        </is>
      </c>
      <c r="DP38" s="258" t="inlineStr">
        <is>
          <t>10.834</t>
        </is>
      </c>
      <c r="DQ38" s="259" t="inlineStr">
        <is>
          <t>-13</t>
        </is>
      </c>
      <c r="DR38" s="260" t="inlineStr">
        <is>
          <t>-0,12%</t>
        </is>
      </c>
      <c r="DS38" s="261" t="inlineStr">
        <is>
          <t>453</t>
        </is>
      </c>
      <c r="DT38" s="262" t="inlineStr">
        <is>
          <t>1</t>
        </is>
      </c>
      <c r="DU38" s="263" t="inlineStr">
        <is>
          <t>0,22%</t>
        </is>
      </c>
      <c r="DV38" s="264" t="inlineStr">
        <is>
          <t>1.043</t>
        </is>
      </c>
      <c r="DW38" s="265" t="inlineStr">
        <is>
          <t>66</t>
        </is>
      </c>
      <c r="DX38" s="266" t="inlineStr">
        <is>
          <t>6,76%</t>
        </is>
      </c>
      <c r="DY38" s="267" t="inlineStr">
        <is>
          <t>PitchBook Research</t>
        </is>
      </c>
      <c r="DZ38" s="786">
        <f>HYPERLINK("https://my.pitchbook.com?c=122849-92", "View company online")</f>
      </c>
    </row>
    <row r="39">
      <c r="A39" s="9" t="inlineStr">
        <is>
          <t>110556-19</t>
        </is>
      </c>
      <c r="B39" s="10" t="inlineStr">
        <is>
          <t>Cantab Research</t>
        </is>
      </c>
      <c r="C39" s="11" t="inlineStr">
        <is>
          <t/>
        </is>
      </c>
      <c r="D39" s="12" t="inlineStr">
        <is>
          <t>Speechmatics</t>
        </is>
      </c>
      <c r="E39" s="13" t="inlineStr">
        <is>
          <t>110556-19</t>
        </is>
      </c>
      <c r="F39" s="14" t="inlineStr">
        <is>
          <t>Provider of speech recognition services. The company provides services to convert speech to text and thus helps in speech recognition and detection.</t>
        </is>
      </c>
      <c r="G39" s="15" t="inlineStr">
        <is>
          <t>Information Technology</t>
        </is>
      </c>
      <c r="H39" s="16" t="inlineStr">
        <is>
          <t>Software</t>
        </is>
      </c>
      <c r="I39" s="17" t="inlineStr">
        <is>
          <t>Database Software</t>
        </is>
      </c>
      <c r="J39" s="18" t="inlineStr">
        <is>
          <t>Database Software*; Automation/Workflow Software; Vertical Market Software</t>
        </is>
      </c>
      <c r="K39" s="19" t="inlineStr">
        <is>
          <t>Artificial Intelligence &amp; Machine Learning, Big Data, SaaS</t>
        </is>
      </c>
      <c r="L39" s="20" t="inlineStr">
        <is>
          <t>Venture Capital-Backed</t>
        </is>
      </c>
      <c r="M39" s="21" t="n">
        <v>67.03</v>
      </c>
      <c r="N39" s="22" t="inlineStr">
        <is>
          <t>Generating Revenue</t>
        </is>
      </c>
      <c r="O39" s="23" t="inlineStr">
        <is>
          <t>Privately Held (backing)</t>
        </is>
      </c>
      <c r="P39" s="24" t="inlineStr">
        <is>
          <t>Venture Capital</t>
        </is>
      </c>
      <c r="Q39" s="25" t="inlineStr">
        <is>
          <t>www.speechmatics.com</t>
        </is>
      </c>
      <c r="R39" s="26" t="n">
        <v>11.0</v>
      </c>
      <c r="S39" s="27" t="inlineStr">
        <is>
          <t/>
        </is>
      </c>
      <c r="T39" s="28" t="inlineStr">
        <is>
          <t/>
        </is>
      </c>
      <c r="U39" s="29" t="n">
        <v>2009.0</v>
      </c>
      <c r="V39" s="30" t="inlineStr">
        <is>
          <t/>
        </is>
      </c>
      <c r="W39" s="31" t="inlineStr">
        <is>
          <t/>
        </is>
      </c>
      <c r="X39" s="32" t="inlineStr">
        <is>
          <t/>
        </is>
      </c>
      <c r="Y39" s="33" t="inlineStr">
        <is>
          <t/>
        </is>
      </c>
      <c r="Z39" s="34" t="inlineStr">
        <is>
          <t/>
        </is>
      </c>
      <c r="AA39" s="35" t="inlineStr">
        <is>
          <t/>
        </is>
      </c>
      <c r="AB39" s="36" t="inlineStr">
        <is>
          <t/>
        </is>
      </c>
      <c r="AC39" s="37" t="inlineStr">
        <is>
          <t/>
        </is>
      </c>
      <c r="AD39" s="38" t="inlineStr">
        <is>
          <t/>
        </is>
      </c>
      <c r="AE39" s="39" t="inlineStr">
        <is>
          <t>77141-35P</t>
        </is>
      </c>
      <c r="AF39" s="40" t="inlineStr">
        <is>
          <t>Anthony Robinson</t>
        </is>
      </c>
      <c r="AG39" s="41" t="inlineStr">
        <is>
          <t>Co-Founder, Owner, Board Member and Chief Technology Officer</t>
        </is>
      </c>
      <c r="AH39" s="42" t="inlineStr">
        <is>
          <t>anthony@speechmatics.com</t>
        </is>
      </c>
      <c r="AI39" s="43" t="inlineStr">
        <is>
          <t>+44 (0)84 5875 1024</t>
        </is>
      </c>
      <c r="AJ39" s="44" t="inlineStr">
        <is>
          <t>Cambridge, United Kingdom</t>
        </is>
      </c>
      <c r="AK39" s="45" t="inlineStr">
        <is>
          <t>51 Canterbury Street</t>
        </is>
      </c>
      <c r="AL39" s="46" t="inlineStr">
        <is>
          <t/>
        </is>
      </c>
      <c r="AM39" s="47" t="inlineStr">
        <is>
          <t>Cambridge</t>
        </is>
      </c>
      <c r="AN39" s="48" t="inlineStr">
        <is>
          <t>England</t>
        </is>
      </c>
      <c r="AO39" s="49" t="inlineStr">
        <is>
          <t>CB4 3QG</t>
        </is>
      </c>
      <c r="AP39" s="50" t="inlineStr">
        <is>
          <t>United Kingdom</t>
        </is>
      </c>
      <c r="AQ39" s="51" t="inlineStr">
        <is>
          <t>+44 (0)84 5875 1024</t>
        </is>
      </c>
      <c r="AR39" s="52" t="inlineStr">
        <is>
          <t/>
        </is>
      </c>
      <c r="AS39" s="53" t="inlineStr">
        <is>
          <t>info@speechmatics.com</t>
        </is>
      </c>
      <c r="AT39" s="54" t="inlineStr">
        <is>
          <t>Europe</t>
        </is>
      </c>
      <c r="AU39" s="55" t="inlineStr">
        <is>
          <t>Western Europe</t>
        </is>
      </c>
      <c r="AV39" s="56" t="inlineStr">
        <is>
          <t>The company raised GBP 56.17 million of venture funding from IQ Capital Partners and Amadeus Capital Partners on January 6, 2017, putting the pre-money valuation at GBP 2.97 billion. Laurence Garrett, Ted Briscoe and other undisclosed investors also participated in the round. The funds will be used top accelerate the commercial roll-out of its products.</t>
        </is>
      </c>
      <c r="AW39" s="57" t="inlineStr">
        <is>
          <t>Accelerate Cambridge, Amadeus Capital Partners, IQ Capital Partners, Laurence Garrett, Ted Briscoe</t>
        </is>
      </c>
      <c r="AX39" s="58" t="n">
        <v>5.0</v>
      </c>
      <c r="AY39" s="59" t="inlineStr">
        <is>
          <t/>
        </is>
      </c>
      <c r="AZ39" s="60" t="inlineStr">
        <is>
          <t/>
        </is>
      </c>
      <c r="BA39" s="61" t="inlineStr">
        <is>
          <t/>
        </is>
      </c>
      <c r="BB39" s="62" t="inlineStr">
        <is>
          <t>Accelerate Cambridge (www.jbs.cam.ac.uk), Amadeus Capital Partners (www.amadeuscapital.com), IQ Capital Partners (www.iqcapital.vc)</t>
        </is>
      </c>
      <c r="BC39" s="63" t="inlineStr">
        <is>
          <t/>
        </is>
      </c>
      <c r="BD39" s="64" t="inlineStr">
        <is>
          <t/>
        </is>
      </c>
      <c r="BE39" s="65" t="inlineStr">
        <is>
          <t/>
        </is>
      </c>
      <c r="BF39" s="66" t="inlineStr">
        <is>
          <t>Shoosmiths (Legal Advisor)</t>
        </is>
      </c>
      <c r="BG39" s="67" t="inlineStr">
        <is>
          <t/>
        </is>
      </c>
      <c r="BH39" s="68" t="inlineStr">
        <is>
          <t/>
        </is>
      </c>
      <c r="BI39" s="69" t="inlineStr">
        <is>
          <t/>
        </is>
      </c>
      <c r="BJ39" s="70" t="inlineStr">
        <is>
          <t/>
        </is>
      </c>
      <c r="BK39" s="71" t="inlineStr">
        <is>
          <t/>
        </is>
      </c>
      <c r="BL39" s="72" t="inlineStr">
        <is>
          <t>Accelerator/Incubator</t>
        </is>
      </c>
      <c r="BM39" s="73" t="inlineStr">
        <is>
          <t/>
        </is>
      </c>
      <c r="BN39" s="74" t="inlineStr">
        <is>
          <t/>
        </is>
      </c>
      <c r="BO39" s="75" t="inlineStr">
        <is>
          <t>Other</t>
        </is>
      </c>
      <c r="BP39" s="76" t="inlineStr">
        <is>
          <t/>
        </is>
      </c>
      <c r="BQ39" s="77" t="inlineStr">
        <is>
          <t/>
        </is>
      </c>
      <c r="BR39" s="78" t="inlineStr">
        <is>
          <t/>
        </is>
      </c>
      <c r="BS39" s="79" t="inlineStr">
        <is>
          <t>Completed</t>
        </is>
      </c>
      <c r="BT39" s="80" t="n">
        <v>42741.0</v>
      </c>
      <c r="BU39" s="81" t="n">
        <v>65.25</v>
      </c>
      <c r="BV39" s="82" t="inlineStr">
        <is>
          <t>Actual</t>
        </is>
      </c>
      <c r="BW39" s="83" t="n">
        <v>3524.14</v>
      </c>
      <c r="BX39" s="84" t="inlineStr">
        <is>
          <t>Actual</t>
        </is>
      </c>
      <c r="BY39" s="85" t="inlineStr">
        <is>
          <t>Later Stage VC</t>
        </is>
      </c>
      <c r="BZ39" s="86" t="inlineStr">
        <is>
          <t/>
        </is>
      </c>
      <c r="CA39" s="87" t="inlineStr">
        <is>
          <t/>
        </is>
      </c>
      <c r="CB39" s="88" t="inlineStr">
        <is>
          <t>Venture Capital</t>
        </is>
      </c>
      <c r="CC39" s="89" t="inlineStr">
        <is>
          <t/>
        </is>
      </c>
      <c r="CD39" s="90" t="inlineStr">
        <is>
          <t/>
        </is>
      </c>
      <c r="CE39" s="91" t="inlineStr">
        <is>
          <t/>
        </is>
      </c>
      <c r="CF39" s="92" t="inlineStr">
        <is>
          <t>Completed</t>
        </is>
      </c>
      <c r="CG39" s="93" t="inlineStr">
        <is>
          <t>2,44%</t>
        </is>
      </c>
      <c r="CH39" s="94" t="inlineStr">
        <is>
          <t>98</t>
        </is>
      </c>
      <c r="CI39" s="95" t="inlineStr">
        <is>
          <t>-0,44%</t>
        </is>
      </c>
      <c r="CJ39" s="96" t="inlineStr">
        <is>
          <t>-15,23%</t>
        </is>
      </c>
      <c r="CK39" s="97" t="inlineStr">
        <is>
          <t>-6,11%</t>
        </is>
      </c>
      <c r="CL39" s="98" t="inlineStr">
        <is>
          <t>6</t>
        </is>
      </c>
      <c r="CM39" s="99" t="inlineStr">
        <is>
          <t>10,99%</t>
        </is>
      </c>
      <c r="CN39" s="100" t="inlineStr">
        <is>
          <t>100</t>
        </is>
      </c>
      <c r="CO39" s="101" t="inlineStr">
        <is>
          <t>-10,87%</t>
        </is>
      </c>
      <c r="CP39" s="102" t="inlineStr">
        <is>
          <t>12</t>
        </is>
      </c>
      <c r="CQ39" s="103" t="inlineStr">
        <is>
          <t>-1,35%</t>
        </is>
      </c>
      <c r="CR39" s="104" t="inlineStr">
        <is>
          <t>6</t>
        </is>
      </c>
      <c r="CS39" s="105" t="inlineStr">
        <is>
          <t>20,97%</t>
        </is>
      </c>
      <c r="CT39" s="106" t="inlineStr">
        <is>
          <t>100</t>
        </is>
      </c>
      <c r="CU39" s="107" t="inlineStr">
        <is>
          <t>1,01%</t>
        </is>
      </c>
      <c r="CV39" s="108" t="inlineStr">
        <is>
          <t>97</t>
        </is>
      </c>
      <c r="CW39" s="109" t="inlineStr">
        <is>
          <t>2,80x</t>
        </is>
      </c>
      <c r="CX39" s="110" t="inlineStr">
        <is>
          <t>71</t>
        </is>
      </c>
      <c r="CY39" s="111" t="inlineStr">
        <is>
          <t>-0,03x</t>
        </is>
      </c>
      <c r="CZ39" s="112" t="inlineStr">
        <is>
          <t>-1,18%</t>
        </is>
      </c>
      <c r="DA39" s="113" t="inlineStr">
        <is>
          <t>4,38x</t>
        </is>
      </c>
      <c r="DB39" s="114" t="inlineStr">
        <is>
          <t>79</t>
        </is>
      </c>
      <c r="DC39" s="115" t="inlineStr">
        <is>
          <t>1,21x</t>
        </is>
      </c>
      <c r="DD39" s="116" t="inlineStr">
        <is>
          <t>52</t>
        </is>
      </c>
      <c r="DE39" s="117" t="inlineStr">
        <is>
          <t>4,44x</t>
        </is>
      </c>
      <c r="DF39" s="118" t="inlineStr">
        <is>
          <t>79</t>
        </is>
      </c>
      <c r="DG39" s="119" t="inlineStr">
        <is>
          <t>4,33x</t>
        </is>
      </c>
      <c r="DH39" s="120" t="inlineStr">
        <is>
          <t>77</t>
        </is>
      </c>
      <c r="DI39" s="121" t="inlineStr">
        <is>
          <t>0,85x</t>
        </is>
      </c>
      <c r="DJ39" s="122" t="inlineStr">
        <is>
          <t>48</t>
        </is>
      </c>
      <c r="DK39" s="123" t="inlineStr">
        <is>
          <t>1,56x</t>
        </is>
      </c>
      <c r="DL39" s="124" t="inlineStr">
        <is>
          <t>59</t>
        </is>
      </c>
      <c r="DM39" s="125" t="inlineStr">
        <is>
          <t>1.667</t>
        </is>
      </c>
      <c r="DN39" s="126" t="inlineStr">
        <is>
          <t>-105</t>
        </is>
      </c>
      <c r="DO39" s="127" t="inlineStr">
        <is>
          <t>-5,93%</t>
        </is>
      </c>
      <c r="DP39" s="128" t="inlineStr">
        <is>
          <t>671</t>
        </is>
      </c>
      <c r="DQ39" s="129" t="inlineStr">
        <is>
          <t>2</t>
        </is>
      </c>
      <c r="DR39" s="130" t="inlineStr">
        <is>
          <t>0,30%</t>
        </is>
      </c>
      <c r="DS39" s="131" t="inlineStr">
        <is>
          <t>157</t>
        </is>
      </c>
      <c r="DT39" s="132" t="inlineStr">
        <is>
          <t>-3</t>
        </is>
      </c>
      <c r="DU39" s="133" t="inlineStr">
        <is>
          <t>-1,88%</t>
        </is>
      </c>
      <c r="DV39" s="134" t="inlineStr">
        <is>
          <t>582</t>
        </is>
      </c>
      <c r="DW39" s="135" t="inlineStr">
        <is>
          <t>-2</t>
        </is>
      </c>
      <c r="DX39" s="136" t="inlineStr">
        <is>
          <t>-0,34%</t>
        </is>
      </c>
      <c r="DY39" s="137" t="inlineStr">
        <is>
          <t>PitchBook Research</t>
        </is>
      </c>
      <c r="DZ39" s="785">
        <f>HYPERLINK("https://my.pitchbook.com?c=110556-19", "View company online")</f>
      </c>
    </row>
    <row r="40">
      <c r="A40" s="139" t="inlineStr">
        <is>
          <t>57698-74</t>
        </is>
      </c>
      <c r="B40" s="140" t="inlineStr">
        <is>
          <t>Dreamlines.de</t>
        </is>
      </c>
      <c r="C40" s="141" t="inlineStr">
        <is>
          <t>Netvacation</t>
        </is>
      </c>
      <c r="D40" s="142" t="inlineStr">
        <is>
          <t/>
        </is>
      </c>
      <c r="E40" s="143" t="inlineStr">
        <is>
          <t>57698-74</t>
        </is>
      </c>
      <c r="F40" s="144" t="inlineStr">
        <is>
          <t>Operator of an online travel agency designed for cruise bookings. The company's online cruise marketplace offers river cruises and sailing ships from around the world through its website.</t>
        </is>
      </c>
      <c r="G40" s="145" t="inlineStr">
        <is>
          <t>Information Technology</t>
        </is>
      </c>
      <c r="H40" s="146" t="inlineStr">
        <is>
          <t>Software</t>
        </is>
      </c>
      <c r="I40" s="147" t="inlineStr">
        <is>
          <t>Social/Platform Software</t>
        </is>
      </c>
      <c r="J40" s="148" t="inlineStr">
        <is>
          <t>Social/Platform Software*</t>
        </is>
      </c>
      <c r="K40" s="149" t="inlineStr">
        <is>
          <t>E-Commerce</t>
        </is>
      </c>
      <c r="L40" s="150" t="inlineStr">
        <is>
          <t>Venture Capital-Backed</t>
        </is>
      </c>
      <c r="M40" s="151" t="n">
        <v>65.7</v>
      </c>
      <c r="N40" s="152" t="inlineStr">
        <is>
          <t>Generating Revenue</t>
        </is>
      </c>
      <c r="O40" s="153" t="inlineStr">
        <is>
          <t>Privately Held (backing)</t>
        </is>
      </c>
      <c r="P40" s="154" t="inlineStr">
        <is>
          <t>Venture Capital</t>
        </is>
      </c>
      <c r="Q40" s="155" t="inlineStr">
        <is>
          <t>www.dreamlines.de</t>
        </is>
      </c>
      <c r="R40" s="156" t="n">
        <v>350.0</v>
      </c>
      <c r="S40" s="157" t="inlineStr">
        <is>
          <t/>
        </is>
      </c>
      <c r="T40" s="158" t="inlineStr">
        <is>
          <t/>
        </is>
      </c>
      <c r="U40" s="159" t="n">
        <v>2012.0</v>
      </c>
      <c r="V40" s="160" t="inlineStr">
        <is>
          <t/>
        </is>
      </c>
      <c r="W40" s="161" t="inlineStr">
        <is>
          <t/>
        </is>
      </c>
      <c r="X40" s="162" t="inlineStr">
        <is>
          <t/>
        </is>
      </c>
      <c r="Y40" s="163" t="n">
        <v>96.94135</v>
      </c>
      <c r="Z40" s="164" t="inlineStr">
        <is>
          <t/>
        </is>
      </c>
      <c r="AA40" s="165" t="inlineStr">
        <is>
          <t/>
        </is>
      </c>
      <c r="AB40" s="166" t="inlineStr">
        <is>
          <t/>
        </is>
      </c>
      <c r="AC40" s="167" t="inlineStr">
        <is>
          <t/>
        </is>
      </c>
      <c r="AD40" s="168" t="inlineStr">
        <is>
          <t>FY 2013</t>
        </is>
      </c>
      <c r="AE40" s="169" t="inlineStr">
        <is>
          <t>48818-98P</t>
        </is>
      </c>
      <c r="AF40" s="170" t="inlineStr">
        <is>
          <t>Thomas Taherkhani</t>
        </is>
      </c>
      <c r="AG40" s="171" t="inlineStr">
        <is>
          <t>Chief Financial Officer &amp; Managing Director</t>
        </is>
      </c>
      <c r="AH40" s="172" t="inlineStr">
        <is>
          <t>thomas.taherkhani@dreamlines.de</t>
        </is>
      </c>
      <c r="AI40" s="173" t="inlineStr">
        <is>
          <t>+49 (0)40 2093 3184</t>
        </is>
      </c>
      <c r="AJ40" s="174" t="inlineStr">
        <is>
          <t>Hamburg, Germany</t>
        </is>
      </c>
      <c r="AK40" s="175" t="inlineStr">
        <is>
          <t>Hermannstrasse 9</t>
        </is>
      </c>
      <c r="AL40" s="176" t="inlineStr">
        <is>
          <t/>
        </is>
      </c>
      <c r="AM40" s="177" t="inlineStr">
        <is>
          <t>Hamburg</t>
        </is>
      </c>
      <c r="AN40" s="178" t="inlineStr">
        <is>
          <t/>
        </is>
      </c>
      <c r="AO40" s="179" t="inlineStr">
        <is>
          <t>20095</t>
        </is>
      </c>
      <c r="AP40" s="180" t="inlineStr">
        <is>
          <t>Germany</t>
        </is>
      </c>
      <c r="AQ40" s="181" t="inlineStr">
        <is>
          <t>+49 (0)40 2093 3184</t>
        </is>
      </c>
      <c r="AR40" s="182" t="inlineStr">
        <is>
          <t>+49 (0)40 6094 6502 5</t>
        </is>
      </c>
      <c r="AS40" s="183" t="inlineStr">
        <is>
          <t>info@dreamlines.de</t>
        </is>
      </c>
      <c r="AT40" s="184" t="inlineStr">
        <is>
          <t>Europe</t>
        </is>
      </c>
      <c r="AU40" s="185" t="inlineStr">
        <is>
          <t>Western Europe</t>
        </is>
      </c>
      <c r="AV40" s="186" t="inlineStr">
        <is>
          <t>The company raised EUR 18 million of venture funding from Dimaventures, Hasso Plattner Ventures and Holtzbrinck Ventures on February 9, 2017. Global Founders, Altpoint and Target Global also participated in the round. The company will use the funding to expand organically and through acquisitions. With the round, the company has now raised a total of EUR 70 million in funding to date. Previously, company raised EUR 14 million of venture funding from Holtzbrinck Ventures, Hasso Plattner Ventures and Dimaventures on August 15, 2016.</t>
        </is>
      </c>
      <c r="AW40" s="187" t="inlineStr">
        <is>
          <t>Altpoint Capital, China Alliance Investment, Dimaventures, European Founders Fund, Felix Schneider, Global Founders Capital, Hasso Plattner Ventures, Holtzbrinck Ventures, TA Ventures, Target Global</t>
        </is>
      </c>
      <c r="AX40" s="188" t="n">
        <v>10.0</v>
      </c>
      <c r="AY40" s="189" t="inlineStr">
        <is>
          <t/>
        </is>
      </c>
      <c r="AZ40" s="190" t="inlineStr">
        <is>
          <t>Astutia Ventures</t>
        </is>
      </c>
      <c r="BA40" s="191" t="inlineStr">
        <is>
          <t/>
        </is>
      </c>
      <c r="BB40" s="192" t="inlineStr">
        <is>
          <t>Altpoint Capital (www.altpointcapital.com), European Founders Fund (www.europeanfounders.com), Global Founders Capital (www.globalfounders.vc), Hasso Plattner Ventures (www.hp-ventures.com), Holtzbrinck Ventures (www.holtzbrinck-ventures.com), TA Ventures (www.taventures.vc), Target Global (www.targetglobal.vc)</t>
        </is>
      </c>
      <c r="BC40" s="193" t="inlineStr">
        <is>
          <t>Astutia Ventures (www.astutia.de)</t>
        </is>
      </c>
      <c r="BD40" s="194" t="inlineStr">
        <is>
          <t/>
        </is>
      </c>
      <c r="BE40" s="195" t="inlineStr">
        <is>
          <t/>
        </is>
      </c>
      <c r="BF40" s="196" t="inlineStr">
        <is>
          <t>Hasso Plattner Ventures (Debt Financing), Hogan Lovells (Legal Advisor), Kreos Capital (Debt Financing)</t>
        </is>
      </c>
      <c r="BG40" s="197" t="n">
        <v>41122.0</v>
      </c>
      <c r="BH40" s="198" t="n">
        <v>2.2</v>
      </c>
      <c r="BI40" s="199" t="inlineStr">
        <is>
          <t>Actual</t>
        </is>
      </c>
      <c r="BJ40" s="200" t="inlineStr">
        <is>
          <t/>
        </is>
      </c>
      <c r="BK40" s="201" t="inlineStr">
        <is>
          <t/>
        </is>
      </c>
      <c r="BL40" s="202" t="inlineStr">
        <is>
          <t>Early Stage VC</t>
        </is>
      </c>
      <c r="BM40" s="203" t="inlineStr">
        <is>
          <t>Series A</t>
        </is>
      </c>
      <c r="BN40" s="204" t="inlineStr">
        <is>
          <t/>
        </is>
      </c>
      <c r="BO40" s="205" t="inlineStr">
        <is>
          <t>Venture Capital</t>
        </is>
      </c>
      <c r="BP40" s="206" t="inlineStr">
        <is>
          <t/>
        </is>
      </c>
      <c r="BQ40" s="207" t="inlineStr">
        <is>
          <t/>
        </is>
      </c>
      <c r="BR40" s="208" t="inlineStr">
        <is>
          <t/>
        </is>
      </c>
      <c r="BS40" s="209" t="inlineStr">
        <is>
          <t>Completed</t>
        </is>
      </c>
      <c r="BT40" s="210" t="n">
        <v>42775.0</v>
      </c>
      <c r="BU40" s="211" t="n">
        <v>18.0</v>
      </c>
      <c r="BV40" s="212" t="inlineStr">
        <is>
          <t>Actual</t>
        </is>
      </c>
      <c r="BW40" s="213" t="inlineStr">
        <is>
          <t/>
        </is>
      </c>
      <c r="BX40" s="214" t="inlineStr">
        <is>
          <t/>
        </is>
      </c>
      <c r="BY40" s="215" t="inlineStr">
        <is>
          <t>Later Stage VC</t>
        </is>
      </c>
      <c r="BZ40" s="216" t="inlineStr">
        <is>
          <t/>
        </is>
      </c>
      <c r="CA40" s="217" t="inlineStr">
        <is>
          <t/>
        </is>
      </c>
      <c r="CB40" s="218" t="inlineStr">
        <is>
          <t>Venture Capital</t>
        </is>
      </c>
      <c r="CC40" s="219" t="inlineStr">
        <is>
          <t/>
        </is>
      </c>
      <c r="CD40" s="220" t="inlineStr">
        <is>
          <t/>
        </is>
      </c>
      <c r="CE40" s="221" t="inlineStr">
        <is>
          <t/>
        </is>
      </c>
      <c r="CF40" s="222" t="inlineStr">
        <is>
          <t>Completed</t>
        </is>
      </c>
      <c r="CG40" s="223" t="inlineStr">
        <is>
          <t>-7,48%</t>
        </is>
      </c>
      <c r="CH40" s="224" t="inlineStr">
        <is>
          <t>2</t>
        </is>
      </c>
      <c r="CI40" s="225" t="inlineStr">
        <is>
          <t>0,01%</t>
        </is>
      </c>
      <c r="CJ40" s="226" t="inlineStr">
        <is>
          <t>0,07%</t>
        </is>
      </c>
      <c r="CK40" s="227" t="inlineStr">
        <is>
          <t>-15,09%</t>
        </is>
      </c>
      <c r="CL40" s="228" t="inlineStr">
        <is>
          <t>1</t>
        </is>
      </c>
      <c r="CM40" s="229" t="inlineStr">
        <is>
          <t>0,12%</t>
        </is>
      </c>
      <c r="CN40" s="230" t="inlineStr">
        <is>
          <t>61</t>
        </is>
      </c>
      <c r="CO40" s="231" t="inlineStr">
        <is>
          <t>-28,88%</t>
        </is>
      </c>
      <c r="CP40" s="232" t="inlineStr">
        <is>
          <t>1</t>
        </is>
      </c>
      <c r="CQ40" s="233" t="inlineStr">
        <is>
          <t>-1,30%</t>
        </is>
      </c>
      <c r="CR40" s="234" t="inlineStr">
        <is>
          <t>7</t>
        </is>
      </c>
      <c r="CS40" s="235" t="inlineStr">
        <is>
          <t>0,03%</t>
        </is>
      </c>
      <c r="CT40" s="236" t="inlineStr">
        <is>
          <t>44</t>
        </is>
      </c>
      <c r="CU40" s="237" t="inlineStr">
        <is>
          <t>0,22%</t>
        </is>
      </c>
      <c r="CV40" s="238" t="inlineStr">
        <is>
          <t>78</t>
        </is>
      </c>
      <c r="CW40" s="239" t="inlineStr">
        <is>
          <t>50,36x</t>
        </is>
      </c>
      <c r="CX40" s="240" t="inlineStr">
        <is>
          <t>97</t>
        </is>
      </c>
      <c r="CY40" s="241" t="inlineStr">
        <is>
          <t>-0,40x</t>
        </is>
      </c>
      <c r="CZ40" s="242" t="inlineStr">
        <is>
          <t>-0,79%</t>
        </is>
      </c>
      <c r="DA40" s="243" t="inlineStr">
        <is>
          <t>16,65x</t>
        </is>
      </c>
      <c r="DB40" s="244" t="inlineStr">
        <is>
          <t>93</t>
        </is>
      </c>
      <c r="DC40" s="245" t="inlineStr">
        <is>
          <t>84,07x</t>
        </is>
      </c>
      <c r="DD40" s="246" t="inlineStr">
        <is>
          <t>96</t>
        </is>
      </c>
      <c r="DE40" s="247" t="inlineStr">
        <is>
          <t>0,47x</t>
        </is>
      </c>
      <c r="DF40" s="248" t="inlineStr">
        <is>
          <t>32</t>
        </is>
      </c>
      <c r="DG40" s="249" t="inlineStr">
        <is>
          <t>32,83x</t>
        </is>
      </c>
      <c r="DH40" s="250" t="inlineStr">
        <is>
          <t>96</t>
        </is>
      </c>
      <c r="DI40" s="251" t="inlineStr">
        <is>
          <t>167,68x</t>
        </is>
      </c>
      <c r="DJ40" s="252" t="inlineStr">
        <is>
          <t>97</t>
        </is>
      </c>
      <c r="DK40" s="253" t="inlineStr">
        <is>
          <t>0,47x</t>
        </is>
      </c>
      <c r="DL40" s="254" t="inlineStr">
        <is>
          <t>37</t>
        </is>
      </c>
      <c r="DM40" s="255" t="inlineStr">
        <is>
          <t>181</t>
        </is>
      </c>
      <c r="DN40" s="256" t="inlineStr">
        <is>
          <t>-32</t>
        </is>
      </c>
      <c r="DO40" s="257" t="inlineStr">
        <is>
          <t>-15,02%</t>
        </is>
      </c>
      <c r="DP40" s="258" t="inlineStr">
        <is>
          <t>132.750</t>
        </is>
      </c>
      <c r="DQ40" s="259" t="inlineStr">
        <is>
          <t>57</t>
        </is>
      </c>
      <c r="DR40" s="260" t="inlineStr">
        <is>
          <t>0,04%</t>
        </is>
      </c>
      <c r="DS40" s="261" t="inlineStr">
        <is>
          <t>1.189</t>
        </is>
      </c>
      <c r="DT40" s="262" t="inlineStr">
        <is>
          <t>-16</t>
        </is>
      </c>
      <c r="DU40" s="263" t="inlineStr">
        <is>
          <t>-1,33%</t>
        </is>
      </c>
      <c r="DV40" s="264" t="inlineStr">
        <is>
          <t>175</t>
        </is>
      </c>
      <c r="DW40" s="265" t="inlineStr">
        <is>
          <t>0</t>
        </is>
      </c>
      <c r="DX40" s="266" t="inlineStr">
        <is>
          <t>0,00%</t>
        </is>
      </c>
      <c r="DY40" s="267" t="inlineStr">
        <is>
          <t>PitchBook Research</t>
        </is>
      </c>
      <c r="DZ40" s="786">
        <f>HYPERLINK("https://my.pitchbook.com?c=57698-74", "View company online")</f>
      </c>
    </row>
    <row r="41">
      <c r="A41" s="9" t="inlineStr">
        <is>
          <t>64959-31</t>
        </is>
      </c>
      <c r="B41" s="10" t="inlineStr">
        <is>
          <t>RateSetter</t>
        </is>
      </c>
      <c r="C41" s="11" t="inlineStr">
        <is>
          <t/>
        </is>
      </c>
      <c r="D41" s="12" t="inlineStr">
        <is>
          <t/>
        </is>
      </c>
      <c r="E41" s="13" t="inlineStr">
        <is>
          <t>64959-31</t>
        </is>
      </c>
      <c r="F41" s="14" t="inlineStr">
        <is>
          <t>Provider of a peer-to-peer lending platform intended to match people with money to invest with creditworthy borrowers. The company's peer-to-peer lending platform offer investors direct access to the risk and returns from lending to creditworthy individuals and businesses, providing businesses with a way to borrow money from consumers as well as pay a risk-adjusted premium and reimburses investors in the event of a default.</t>
        </is>
      </c>
      <c r="G41" s="15" t="inlineStr">
        <is>
          <t>Financial Services</t>
        </is>
      </c>
      <c r="H41" s="16" t="inlineStr">
        <is>
          <t>Other Financial Services</t>
        </is>
      </c>
      <c r="I41" s="17" t="inlineStr">
        <is>
          <t>Other Financial Services</t>
        </is>
      </c>
      <c r="J41" s="18" t="inlineStr">
        <is>
          <t>Other Financial Services*; Financial Software; Social/Platform Software</t>
        </is>
      </c>
      <c r="K41" s="19" t="inlineStr">
        <is>
          <t>FinTech</t>
        </is>
      </c>
      <c r="L41" s="20" t="inlineStr">
        <is>
          <t>Venture Capital-Backed</t>
        </is>
      </c>
      <c r="M41" s="21" t="n">
        <v>65.17</v>
      </c>
      <c r="N41" s="22" t="inlineStr">
        <is>
          <t>Generating Revenue</t>
        </is>
      </c>
      <c r="O41" s="23" t="inlineStr">
        <is>
          <t>Privately Held (backing)</t>
        </is>
      </c>
      <c r="P41" s="24" t="inlineStr">
        <is>
          <t>Venture Capital</t>
        </is>
      </c>
      <c r="Q41" s="25" t="inlineStr">
        <is>
          <t>www.ratesetter.com</t>
        </is>
      </c>
      <c r="R41" s="26" t="n">
        <v>118.0</v>
      </c>
      <c r="S41" s="27" t="inlineStr">
        <is>
          <t/>
        </is>
      </c>
      <c r="T41" s="28" t="inlineStr">
        <is>
          <t/>
        </is>
      </c>
      <c r="U41" s="29" t="n">
        <v>2009.0</v>
      </c>
      <c r="V41" s="30" t="inlineStr">
        <is>
          <t/>
        </is>
      </c>
      <c r="W41" s="31" t="inlineStr">
        <is>
          <t/>
        </is>
      </c>
      <c r="X41" s="32" t="inlineStr">
        <is>
          <r>
            <rPr>
              <b/>
              <color rgb="ff26854d"/>
              <rFont val="Arial"/>
              <sz val="8.0"/>
            </rPr>
            <t>News</t>
          </r>
          <r>
            <rPr>
              <color rgb="ff707070"/>
              <rFont val="Arial"/>
              <sz val="7.0"/>
            </rPr>
            <t xml:space="preserve"> NEW  </t>
          </r>
        </is>
      </c>
      <c r="Y41" s="33" t="n">
        <v>25.02042</v>
      </c>
      <c r="Z41" s="34" t="n">
        <v>22.68038</v>
      </c>
      <c r="AA41" s="35" t="n">
        <v>-5.45409</v>
      </c>
      <c r="AB41" s="36" t="inlineStr">
        <is>
          <t/>
        </is>
      </c>
      <c r="AC41" s="37" t="n">
        <v>-6.71411</v>
      </c>
      <c r="AD41" s="38" t="inlineStr">
        <is>
          <t>FY 2016</t>
        </is>
      </c>
      <c r="AE41" s="39" t="inlineStr">
        <is>
          <t>96908-77P</t>
        </is>
      </c>
      <c r="AF41" s="40" t="inlineStr">
        <is>
          <t>Henry Russell</t>
        </is>
      </c>
      <c r="AG41" s="41" t="inlineStr">
        <is>
          <t>Board Member &amp; Chief Financial Officer</t>
        </is>
      </c>
      <c r="AH41" s="42" t="inlineStr">
        <is>
          <t>henry.russell@ratesetter.com</t>
        </is>
      </c>
      <c r="AI41" s="43" t="inlineStr">
        <is>
          <t>+44 (0)20 3142 6226</t>
        </is>
      </c>
      <c r="AJ41" s="44" t="inlineStr">
        <is>
          <t>London, United Kingdom</t>
        </is>
      </c>
      <c r="AK41" s="45" t="inlineStr">
        <is>
          <t>6th Floor</t>
        </is>
      </c>
      <c r="AL41" s="46" t="inlineStr">
        <is>
          <t>55 Bishopsgate</t>
        </is>
      </c>
      <c r="AM41" s="47" t="inlineStr">
        <is>
          <t>London</t>
        </is>
      </c>
      <c r="AN41" s="48" t="inlineStr">
        <is>
          <t>England</t>
        </is>
      </c>
      <c r="AO41" s="49" t="inlineStr">
        <is>
          <t>EC2N 3AS</t>
        </is>
      </c>
      <c r="AP41" s="50" t="inlineStr">
        <is>
          <t>United Kingdom</t>
        </is>
      </c>
      <c r="AQ41" s="51" t="inlineStr">
        <is>
          <t>+44 (0)20 3142 6226</t>
        </is>
      </c>
      <c r="AR41" s="52" t="inlineStr">
        <is>
          <t/>
        </is>
      </c>
      <c r="AS41" s="53" t="inlineStr">
        <is>
          <t>contactus@ratesetter.com</t>
        </is>
      </c>
      <c r="AT41" s="54" t="inlineStr">
        <is>
          <t>Europe</t>
        </is>
      </c>
      <c r="AU41" s="55" t="inlineStr">
        <is>
          <t>Western Europe</t>
        </is>
      </c>
      <c r="AV41" s="56" t="inlineStr">
        <is>
          <t>The company raised GBP 13.5 million of venture funding from Woodford Investment Management and Artemis Ventures on May 30, 2017, putting the company's pre-money valuation at GBP 148.42 million. The company intends to use the funds to scale up the business ahead of the anticipated launch of its Innovative Finance ISA.</t>
        </is>
      </c>
      <c r="AW41" s="57" t="inlineStr">
        <is>
          <t>Artemis Ventures, Charles Peel, Christopher Kelly, John Chatfeild-Roberts, Ken Costa, Woodford Investment Management</t>
        </is>
      </c>
      <c r="AX41" s="58" t="n">
        <v>6.0</v>
      </c>
      <c r="AY41" s="59" t="inlineStr">
        <is>
          <t/>
        </is>
      </c>
      <c r="AZ41" s="60" t="inlineStr">
        <is>
          <t/>
        </is>
      </c>
      <c r="BA41" s="61" t="inlineStr">
        <is>
          <t/>
        </is>
      </c>
      <c r="BB41" s="62" t="inlineStr">
        <is>
          <t>Artemis Ventures (www.co-capital.com), Woodford Investment Management (woodfordfunds.com)</t>
        </is>
      </c>
      <c r="BC41" s="63" t="inlineStr">
        <is>
          <t/>
        </is>
      </c>
      <c r="BD41" s="64" t="inlineStr">
        <is>
          <t/>
        </is>
      </c>
      <c r="BE41" s="65" t="inlineStr">
        <is>
          <t>Future Fifty (Consulting), EY (Auditor)</t>
        </is>
      </c>
      <c r="BF41" s="66" t="inlineStr">
        <is>
          <t>British Business Bank (Debt Financing)</t>
        </is>
      </c>
      <c r="BG41" s="67" t="n">
        <v>40458.0</v>
      </c>
      <c r="BH41" s="68" t="n">
        <v>0.97</v>
      </c>
      <c r="BI41" s="69" t="inlineStr">
        <is>
          <t>Actual</t>
        </is>
      </c>
      <c r="BJ41" s="70" t="n">
        <v>1.9</v>
      </c>
      <c r="BK41" s="71" t="inlineStr">
        <is>
          <t>Actual</t>
        </is>
      </c>
      <c r="BL41" s="72" t="inlineStr">
        <is>
          <t>Angel (individual)</t>
        </is>
      </c>
      <c r="BM41" s="73" t="inlineStr">
        <is>
          <t>Angel</t>
        </is>
      </c>
      <c r="BN41" s="74" t="inlineStr">
        <is>
          <t/>
        </is>
      </c>
      <c r="BO41" s="75" t="inlineStr">
        <is>
          <t>Individual</t>
        </is>
      </c>
      <c r="BP41" s="76" t="inlineStr">
        <is>
          <t/>
        </is>
      </c>
      <c r="BQ41" s="77" t="inlineStr">
        <is>
          <t/>
        </is>
      </c>
      <c r="BR41" s="78" t="inlineStr">
        <is>
          <t/>
        </is>
      </c>
      <c r="BS41" s="79" t="inlineStr">
        <is>
          <t>Completed</t>
        </is>
      </c>
      <c r="BT41" s="80" t="n">
        <v>42908.0</v>
      </c>
      <c r="BU41" s="81" t="n">
        <v>15.47</v>
      </c>
      <c r="BV41" s="82" t="inlineStr">
        <is>
          <t>Actual</t>
        </is>
      </c>
      <c r="BW41" s="83" t="n">
        <v>184.67</v>
      </c>
      <c r="BX41" s="84" t="inlineStr">
        <is>
          <t>Actual</t>
        </is>
      </c>
      <c r="BY41" s="85" t="inlineStr">
        <is>
          <t>Later Stage VC</t>
        </is>
      </c>
      <c r="BZ41" s="86" t="inlineStr">
        <is>
          <t/>
        </is>
      </c>
      <c r="CA41" s="87" t="inlineStr">
        <is>
          <t/>
        </is>
      </c>
      <c r="CB41" s="88" t="inlineStr">
        <is>
          <t>Venture Capital</t>
        </is>
      </c>
      <c r="CC41" s="89" t="inlineStr">
        <is>
          <t/>
        </is>
      </c>
      <c r="CD41" s="90" t="inlineStr">
        <is>
          <t/>
        </is>
      </c>
      <c r="CE41" s="91" t="inlineStr">
        <is>
          <t/>
        </is>
      </c>
      <c r="CF41" s="92" t="inlineStr">
        <is>
          <t>Completed</t>
        </is>
      </c>
      <c r="CG41" s="93" t="inlineStr">
        <is>
          <t>-6,55%</t>
        </is>
      </c>
      <c r="CH41" s="94" t="inlineStr">
        <is>
          <t>2</t>
        </is>
      </c>
      <c r="CI41" s="95" t="inlineStr">
        <is>
          <t>-0,05%</t>
        </is>
      </c>
      <c r="CJ41" s="96" t="inlineStr">
        <is>
          <t>-0,75%</t>
        </is>
      </c>
      <c r="CK41" s="97" t="inlineStr">
        <is>
          <t>-13,17%</t>
        </is>
      </c>
      <c r="CL41" s="98" t="inlineStr">
        <is>
          <t>2</t>
        </is>
      </c>
      <c r="CM41" s="99" t="inlineStr">
        <is>
          <t>0,08%</t>
        </is>
      </c>
      <c r="CN41" s="100" t="inlineStr">
        <is>
          <t>55</t>
        </is>
      </c>
      <c r="CO41" s="101" t="inlineStr">
        <is>
          <t>-26,07%</t>
        </is>
      </c>
      <c r="CP41" s="102" t="inlineStr">
        <is>
          <t>3</t>
        </is>
      </c>
      <c r="CQ41" s="103" t="inlineStr">
        <is>
          <t>-0,28%</t>
        </is>
      </c>
      <c r="CR41" s="104" t="inlineStr">
        <is>
          <t>18</t>
        </is>
      </c>
      <c r="CS41" s="105" t="inlineStr">
        <is>
          <t>0,03%</t>
        </is>
      </c>
      <c r="CT41" s="106" t="inlineStr">
        <is>
          <t>44</t>
        </is>
      </c>
      <c r="CU41" s="107" t="inlineStr">
        <is>
          <t>0,13%</t>
        </is>
      </c>
      <c r="CV41" s="108" t="inlineStr">
        <is>
          <t>70</t>
        </is>
      </c>
      <c r="CW41" s="109" t="inlineStr">
        <is>
          <t>24,41x</t>
        </is>
      </c>
      <c r="CX41" s="110" t="inlineStr">
        <is>
          <t>94</t>
        </is>
      </c>
      <c r="CY41" s="111" t="inlineStr">
        <is>
          <t>-0,18x</t>
        </is>
      </c>
      <c r="CZ41" s="112" t="inlineStr">
        <is>
          <t>-0,73%</t>
        </is>
      </c>
      <c r="DA41" s="113" t="inlineStr">
        <is>
          <t>16,85x</t>
        </is>
      </c>
      <c r="DB41" s="114" t="inlineStr">
        <is>
          <t>93</t>
        </is>
      </c>
      <c r="DC41" s="115" t="inlineStr">
        <is>
          <t>31,96x</t>
        </is>
      </c>
      <c r="DD41" s="116" t="inlineStr">
        <is>
          <t>92</t>
        </is>
      </c>
      <c r="DE41" s="117" t="inlineStr">
        <is>
          <t>2,90x</t>
        </is>
      </c>
      <c r="DF41" s="118" t="inlineStr">
        <is>
          <t>73</t>
        </is>
      </c>
      <c r="DG41" s="119" t="inlineStr">
        <is>
          <t>30,81x</t>
        </is>
      </c>
      <c r="DH41" s="120" t="inlineStr">
        <is>
          <t>95</t>
        </is>
      </c>
      <c r="DI41" s="121" t="inlineStr">
        <is>
          <t>8,33x</t>
        </is>
      </c>
      <c r="DJ41" s="122" t="inlineStr">
        <is>
          <t>80</t>
        </is>
      </c>
      <c r="DK41" s="123" t="inlineStr">
        <is>
          <t>55,60x</t>
        </is>
      </c>
      <c r="DL41" s="124" t="inlineStr">
        <is>
          <t>97</t>
        </is>
      </c>
      <c r="DM41" s="125" t="inlineStr">
        <is>
          <t>1.071</t>
        </is>
      </c>
      <c r="DN41" s="126" t="inlineStr">
        <is>
          <t>23</t>
        </is>
      </c>
      <c r="DO41" s="127" t="inlineStr">
        <is>
          <t>2,19%</t>
        </is>
      </c>
      <c r="DP41" s="128" t="inlineStr">
        <is>
          <t>6.595</t>
        </is>
      </c>
      <c r="DQ41" s="129" t="inlineStr">
        <is>
          <t>4</t>
        </is>
      </c>
      <c r="DR41" s="130" t="inlineStr">
        <is>
          <t>0,06%</t>
        </is>
      </c>
      <c r="DS41" s="131" t="inlineStr">
        <is>
          <t>1.110</t>
        </is>
      </c>
      <c r="DT41" s="132" t="inlineStr">
        <is>
          <t>-3</t>
        </is>
      </c>
      <c r="DU41" s="133" t="inlineStr">
        <is>
          <t>-0,27%</t>
        </is>
      </c>
      <c r="DV41" s="134" t="inlineStr">
        <is>
          <t>20.794</t>
        </is>
      </c>
      <c r="DW41" s="135" t="inlineStr">
        <is>
          <t>29</t>
        </is>
      </c>
      <c r="DX41" s="136" t="inlineStr">
        <is>
          <t>0,14%</t>
        </is>
      </c>
      <c r="DY41" s="137" t="inlineStr">
        <is>
          <t>PitchBook Research</t>
        </is>
      </c>
      <c r="DZ41" s="785">
        <f>HYPERLINK("https://my.pitchbook.com?c=64959-31", "View company online")</f>
      </c>
    </row>
    <row r="42">
      <c r="A42" s="139" t="inlineStr">
        <is>
          <t>54742-69</t>
        </is>
      </c>
      <c r="B42" s="140" t="inlineStr">
        <is>
          <t>MOVE Guides</t>
        </is>
      </c>
      <c r="C42" s="141" t="inlineStr">
        <is>
          <t/>
        </is>
      </c>
      <c r="D42" s="142" t="inlineStr">
        <is>
          <t/>
        </is>
      </c>
      <c r="E42" s="143" t="inlineStr">
        <is>
          <t>54742-69</t>
        </is>
      </c>
      <c r="F42" s="144" t="inlineStr">
        <is>
          <t>Provider of talent mobility cloud technology platform designed to offer outsourced relocation and assignment management services. The company's talent mobility cloud technology platform is a certified supply chain and expense administration management, enabling companies to easily and efficiently source talent and place talent to anywhere in the world.</t>
        </is>
      </c>
      <c r="G42" s="145" t="inlineStr">
        <is>
          <t>Information Technology</t>
        </is>
      </c>
      <c r="H42" s="146" t="inlineStr">
        <is>
          <t>IT Services</t>
        </is>
      </c>
      <c r="I42" s="147" t="inlineStr">
        <is>
          <t>Other IT Services</t>
        </is>
      </c>
      <c r="J42" s="148" t="inlineStr">
        <is>
          <t>Other IT Services*; Human Capital Services; Business/Productivity Software</t>
        </is>
      </c>
      <c r="K42" s="149" t="inlineStr">
        <is>
          <t>SaaS</t>
        </is>
      </c>
      <c r="L42" s="150" t="inlineStr">
        <is>
          <t>Venture Capital-Backed</t>
        </is>
      </c>
      <c r="M42" s="151" t="n">
        <v>64.48</v>
      </c>
      <c r="N42" s="152" t="inlineStr">
        <is>
          <t>Generating Revenue</t>
        </is>
      </c>
      <c r="O42" s="153" t="inlineStr">
        <is>
          <t>Privately Held (backing)</t>
        </is>
      </c>
      <c r="P42" s="154" t="inlineStr">
        <is>
          <t>Venture Capital</t>
        </is>
      </c>
      <c r="Q42" s="155" t="inlineStr">
        <is>
          <t>www.moveguides.com</t>
        </is>
      </c>
      <c r="R42" s="156" t="n">
        <v>130.0</v>
      </c>
      <c r="S42" s="157" t="inlineStr">
        <is>
          <t/>
        </is>
      </c>
      <c r="T42" s="158" t="inlineStr">
        <is>
          <t/>
        </is>
      </c>
      <c r="U42" s="159" t="n">
        <v>2010.0</v>
      </c>
      <c r="V42" s="160" t="inlineStr">
        <is>
          <t/>
        </is>
      </c>
      <c r="W42" s="161" t="inlineStr">
        <is>
          <t/>
        </is>
      </c>
      <c r="X42" s="162" t="inlineStr">
        <is>
          <t/>
        </is>
      </c>
      <c r="Y42" s="163" t="n">
        <v>3.33499</v>
      </c>
      <c r="Z42" s="164" t="n">
        <v>1.22191</v>
      </c>
      <c r="AA42" s="165" t="n">
        <v>-13.78095</v>
      </c>
      <c r="AB42" s="166" t="inlineStr">
        <is>
          <t/>
        </is>
      </c>
      <c r="AC42" s="167" t="n">
        <v>-13.75339</v>
      </c>
      <c r="AD42" s="168" t="inlineStr">
        <is>
          <t>FY 2015</t>
        </is>
      </c>
      <c r="AE42" s="169" t="inlineStr">
        <is>
          <t>86212-00P</t>
        </is>
      </c>
      <c r="AF42" s="170" t="inlineStr">
        <is>
          <t>Roger Hand</t>
        </is>
      </c>
      <c r="AG42" s="171" t="inlineStr">
        <is>
          <t>Chief Financial Officer</t>
        </is>
      </c>
      <c r="AH42" s="172" t="inlineStr">
        <is>
          <t>rh@moveguides.com</t>
        </is>
      </c>
      <c r="AI42" s="173" t="inlineStr">
        <is>
          <t>+1 (888) 989-0210</t>
        </is>
      </c>
      <c r="AJ42" s="174" t="inlineStr">
        <is>
          <t>London, United Kingdom</t>
        </is>
      </c>
      <c r="AK42" s="175" t="inlineStr">
        <is>
          <t>6 Ramillies Street</t>
        </is>
      </c>
      <c r="AL42" s="176" t="inlineStr">
        <is>
          <t/>
        </is>
      </c>
      <c r="AM42" s="177" t="inlineStr">
        <is>
          <t>London</t>
        </is>
      </c>
      <c r="AN42" s="178" t="inlineStr">
        <is>
          <t>England</t>
        </is>
      </c>
      <c r="AO42" s="179" t="inlineStr">
        <is>
          <t>W1F 7TY</t>
        </is>
      </c>
      <c r="AP42" s="180" t="inlineStr">
        <is>
          <t>United Kingdom</t>
        </is>
      </c>
      <c r="AQ42" s="181" t="inlineStr">
        <is>
          <t>+44 (0)20 3808 6350</t>
        </is>
      </c>
      <c r="AR42" s="182" t="inlineStr">
        <is>
          <t/>
        </is>
      </c>
      <c r="AS42" s="183" t="inlineStr">
        <is>
          <t>help@moveguides.com</t>
        </is>
      </c>
      <c r="AT42" s="184" t="inlineStr">
        <is>
          <t>Europe</t>
        </is>
      </c>
      <c r="AU42" s="185" t="inlineStr">
        <is>
          <t>Western Europe</t>
        </is>
      </c>
      <c r="AV42" s="186" t="inlineStr">
        <is>
          <t>The company raised GBP 37.36 million of Series C venture funding from Notion Capital, Workday Ventures, New Enterprise Associates (NEA), Future Fund and Bregal Sagemount on July 11, 2017, putting the company's pre-money valuation at GBP 60.34 million. The funding will be used for expansion, growing market share of its platform and infrastructure. The company till date has raised more than $91 million.</t>
        </is>
      </c>
      <c r="AW42" s="187" t="inlineStr">
        <is>
          <t>Beacon Capital, Bregal Sagemount, Dale Murray, FutureFund Capital, Individual Investor, New Enterprise Associates, Notion Capital, Sean Park, Sherry Coutu, Tom Hulme, Workday Ventures</t>
        </is>
      </c>
      <c r="AX42" s="188" t="n">
        <v>11.0</v>
      </c>
      <c r="AY42" s="189" t="inlineStr">
        <is>
          <t/>
        </is>
      </c>
      <c r="AZ42" s="190" t="inlineStr">
        <is>
          <t/>
        </is>
      </c>
      <c r="BA42" s="191" t="inlineStr">
        <is>
          <t/>
        </is>
      </c>
      <c r="BB42" s="192" t="inlineStr">
        <is>
          <t>Beacon Capital (www.beaconcapital.co.uk), Bregal Sagemount (www.sagemount.com), New Enterprise Associates (www.nea.com), Notion Capital (www.notioncapital.com), Tom Hulme (www.thulme.com)</t>
        </is>
      </c>
      <c r="BC42" s="193" t="inlineStr">
        <is>
          <t/>
        </is>
      </c>
      <c r="BD42" s="194" t="inlineStr">
        <is>
          <t/>
        </is>
      </c>
      <c r="BE42" s="195" t="inlineStr">
        <is>
          <t>Erevena (Consulting), Taylor Wessing (Legal Advisor), Fenwick &amp; West (Legal Advisor), Baker Tilly UK Group (Auditor)</t>
        </is>
      </c>
      <c r="BF42" s="196" t="inlineStr">
        <is>
          <t>Taylor Wessing (Legal Advisor), Fenwick &amp; West (Legal Advisor)</t>
        </is>
      </c>
      <c r="BG42" s="197" t="n">
        <v>41094.0</v>
      </c>
      <c r="BH42" s="198" t="n">
        <v>0.51</v>
      </c>
      <c r="BI42" s="199" t="inlineStr">
        <is>
          <t>Actual</t>
        </is>
      </c>
      <c r="BJ42" s="200" t="n">
        <v>1.87</v>
      </c>
      <c r="BK42" s="201" t="inlineStr">
        <is>
          <t>Actual</t>
        </is>
      </c>
      <c r="BL42" s="202" t="inlineStr">
        <is>
          <t>Seed Round</t>
        </is>
      </c>
      <c r="BM42" s="203" t="inlineStr">
        <is>
          <t>Seed</t>
        </is>
      </c>
      <c r="BN42" s="204" t="inlineStr">
        <is>
          <t/>
        </is>
      </c>
      <c r="BO42" s="205" t="inlineStr">
        <is>
          <t>Individual</t>
        </is>
      </c>
      <c r="BP42" s="206" t="inlineStr">
        <is>
          <t/>
        </is>
      </c>
      <c r="BQ42" s="207" t="inlineStr">
        <is>
          <t/>
        </is>
      </c>
      <c r="BR42" s="208" t="inlineStr">
        <is>
          <t/>
        </is>
      </c>
      <c r="BS42" s="209" t="inlineStr">
        <is>
          <t>Completed</t>
        </is>
      </c>
      <c r="BT42" s="210" t="n">
        <v>42927.0</v>
      </c>
      <c r="BU42" s="211" t="n">
        <v>42.18</v>
      </c>
      <c r="BV42" s="212" t="inlineStr">
        <is>
          <t>Actual</t>
        </is>
      </c>
      <c r="BW42" s="213" t="n">
        <v>81.27</v>
      </c>
      <c r="BX42" s="214" t="inlineStr">
        <is>
          <t>Actual</t>
        </is>
      </c>
      <c r="BY42" s="215" t="inlineStr">
        <is>
          <t>Later Stage VC</t>
        </is>
      </c>
      <c r="BZ42" s="216" t="inlineStr">
        <is>
          <t>Series C</t>
        </is>
      </c>
      <c r="CA42" s="217" t="inlineStr">
        <is>
          <t/>
        </is>
      </c>
      <c r="CB42" s="218" t="inlineStr">
        <is>
          <t>Venture Capital</t>
        </is>
      </c>
      <c r="CC42" s="219" t="inlineStr">
        <is>
          <t>Convertible Debt</t>
        </is>
      </c>
      <c r="CD42" s="220" t="inlineStr">
        <is>
          <t/>
        </is>
      </c>
      <c r="CE42" s="221" t="inlineStr">
        <is>
          <t/>
        </is>
      </c>
      <c r="CF42" s="222" t="inlineStr">
        <is>
          <t>Completed</t>
        </is>
      </c>
      <c r="CG42" s="223" t="inlineStr">
        <is>
          <t>-1,43%</t>
        </is>
      </c>
      <c r="CH42" s="224" t="inlineStr">
        <is>
          <t>12</t>
        </is>
      </c>
      <c r="CI42" s="225" t="inlineStr">
        <is>
          <t>-0,03%</t>
        </is>
      </c>
      <c r="CJ42" s="226" t="inlineStr">
        <is>
          <t>-2,01%</t>
        </is>
      </c>
      <c r="CK42" s="227" t="inlineStr">
        <is>
          <t>-3,00%</t>
        </is>
      </c>
      <c r="CL42" s="228" t="inlineStr">
        <is>
          <t>11</t>
        </is>
      </c>
      <c r="CM42" s="229" t="inlineStr">
        <is>
          <t>0,14%</t>
        </is>
      </c>
      <c r="CN42" s="230" t="inlineStr">
        <is>
          <t>64</t>
        </is>
      </c>
      <c r="CO42" s="231" t="inlineStr">
        <is>
          <t>-3,00%</t>
        </is>
      </c>
      <c r="CP42" s="232" t="inlineStr">
        <is>
          <t>27</t>
        </is>
      </c>
      <c r="CQ42" s="233" t="inlineStr">
        <is>
          <t/>
        </is>
      </c>
      <c r="CR42" s="234" t="inlineStr">
        <is>
          <t/>
        </is>
      </c>
      <c r="CS42" s="235" t="inlineStr">
        <is>
          <t>0,23%</t>
        </is>
      </c>
      <c r="CT42" s="236" t="inlineStr">
        <is>
          <t>72</t>
        </is>
      </c>
      <c r="CU42" s="237" t="inlineStr">
        <is>
          <t>0,05%</t>
        </is>
      </c>
      <c r="CV42" s="238" t="inlineStr">
        <is>
          <t>59</t>
        </is>
      </c>
      <c r="CW42" s="239" t="inlineStr">
        <is>
          <t>5,06x</t>
        </is>
      </c>
      <c r="CX42" s="240" t="inlineStr">
        <is>
          <t>80</t>
        </is>
      </c>
      <c r="CY42" s="241" t="inlineStr">
        <is>
          <t>-0,03x</t>
        </is>
      </c>
      <c r="CZ42" s="242" t="inlineStr">
        <is>
          <t>-0,64%</t>
        </is>
      </c>
      <c r="DA42" s="243" t="inlineStr">
        <is>
          <t>4,13x</t>
        </is>
      </c>
      <c r="DB42" s="244" t="inlineStr">
        <is>
          <t>79</t>
        </is>
      </c>
      <c r="DC42" s="245" t="inlineStr">
        <is>
          <t>5,99x</t>
        </is>
      </c>
      <c r="DD42" s="246" t="inlineStr">
        <is>
          <t>78</t>
        </is>
      </c>
      <c r="DE42" s="247" t="inlineStr">
        <is>
          <t>4,13x</t>
        </is>
      </c>
      <c r="DF42" s="248" t="inlineStr">
        <is>
          <t>78</t>
        </is>
      </c>
      <c r="DG42" s="249" t="inlineStr">
        <is>
          <t/>
        </is>
      </c>
      <c r="DH42" s="250" t="inlineStr">
        <is>
          <t/>
        </is>
      </c>
      <c r="DI42" s="251" t="inlineStr">
        <is>
          <t>1,62x</t>
        </is>
      </c>
      <c r="DJ42" s="252" t="inlineStr">
        <is>
          <t>59</t>
        </is>
      </c>
      <c r="DK42" s="253" t="inlineStr">
        <is>
          <t>10,37x</t>
        </is>
      </c>
      <c r="DL42" s="254" t="inlineStr">
        <is>
          <t>87</t>
        </is>
      </c>
      <c r="DM42" s="255" t="inlineStr">
        <is>
          <t>1.522</t>
        </is>
      </c>
      <c r="DN42" s="256" t="inlineStr">
        <is>
          <t>41</t>
        </is>
      </c>
      <c r="DO42" s="257" t="inlineStr">
        <is>
          <t>2,77%</t>
        </is>
      </c>
      <c r="DP42" s="258" t="inlineStr">
        <is>
          <t>1.282</t>
        </is>
      </c>
      <c r="DQ42" s="259" t="inlineStr">
        <is>
          <t>1</t>
        </is>
      </c>
      <c r="DR42" s="260" t="inlineStr">
        <is>
          <t>0,08%</t>
        </is>
      </c>
      <c r="DS42" s="261" t="inlineStr">
        <is>
          <t/>
        </is>
      </c>
      <c r="DT42" s="262" t="inlineStr">
        <is>
          <t/>
        </is>
      </c>
      <c r="DU42" s="263" t="inlineStr">
        <is>
          <t/>
        </is>
      </c>
      <c r="DV42" s="264" t="inlineStr">
        <is>
          <t>3.879</t>
        </is>
      </c>
      <c r="DW42" s="265" t="inlineStr">
        <is>
          <t>-3</t>
        </is>
      </c>
      <c r="DX42" s="266" t="inlineStr">
        <is>
          <t>-0,08%</t>
        </is>
      </c>
      <c r="DY42" s="267" t="inlineStr">
        <is>
          <t>PitchBook Research</t>
        </is>
      </c>
      <c r="DZ42" s="786">
        <f>HYPERLINK("https://my.pitchbook.com?c=54742-69", "View company online")</f>
      </c>
    </row>
    <row r="43">
      <c r="A43" s="9" t="inlineStr">
        <is>
          <t>59925-34</t>
        </is>
      </c>
      <c r="B43" s="10" t="inlineStr">
        <is>
          <t>carwow</t>
        </is>
      </c>
      <c r="C43" s="11" t="inlineStr">
        <is>
          <t>carbuzz</t>
        </is>
      </c>
      <c r="D43" s="12" t="inlineStr">
        <is>
          <t/>
        </is>
      </c>
      <c r="E43" s="13" t="inlineStr">
        <is>
          <t>59925-34</t>
        </is>
      </c>
      <c r="F43" s="14" t="inlineStr">
        <is>
          <t>Provider of a car comparison platform intended to facilitate buying and selling of new cars. The company's car comparison platform helps users to compare offers online and buy directly from dealers that are registered with the platform, thus avoiding the arduous requirement to haggle over price and providing more transparency, enabling consumers to find a car and receive competing offers from dealers.</t>
        </is>
      </c>
      <c r="G43" s="15" t="inlineStr">
        <is>
          <t>Information Technology</t>
        </is>
      </c>
      <c r="H43" s="16" t="inlineStr">
        <is>
          <t>Other Information Technology</t>
        </is>
      </c>
      <c r="I43" s="17" t="inlineStr">
        <is>
          <t>Other Information Technology</t>
        </is>
      </c>
      <c r="J43" s="18" t="inlineStr">
        <is>
          <t>Other Information Technology*; Automotive; Social/Platform Software</t>
        </is>
      </c>
      <c r="K43" s="19" t="inlineStr">
        <is>
          <t>E-Commerce, Mobile</t>
        </is>
      </c>
      <c r="L43" s="20" t="inlineStr">
        <is>
          <t>Venture Capital-Backed</t>
        </is>
      </c>
      <c r="M43" s="21" t="n">
        <v>64.04</v>
      </c>
      <c r="N43" s="22" t="inlineStr">
        <is>
          <t>Generating Revenue</t>
        </is>
      </c>
      <c r="O43" s="23" t="inlineStr">
        <is>
          <t>Privately Held (backing)</t>
        </is>
      </c>
      <c r="P43" s="24" t="inlineStr">
        <is>
          <t>Venture Capital</t>
        </is>
      </c>
      <c r="Q43" s="25" t="inlineStr">
        <is>
          <t>www.carwow.co.uk</t>
        </is>
      </c>
      <c r="R43" s="26" t="n">
        <v>140.0</v>
      </c>
      <c r="S43" s="27" t="inlineStr">
        <is>
          <t/>
        </is>
      </c>
      <c r="T43" s="28" t="inlineStr">
        <is>
          <t/>
        </is>
      </c>
      <c r="U43" s="29" t="n">
        <v>2010.0</v>
      </c>
      <c r="V43" s="30" t="inlineStr">
        <is>
          <t/>
        </is>
      </c>
      <c r="W43" s="31" t="inlineStr">
        <is>
          <t/>
        </is>
      </c>
      <c r="X43" s="32" t="inlineStr">
        <is>
          <t/>
        </is>
      </c>
      <c r="Y43" s="33" t="n">
        <v>4.91521</v>
      </c>
      <c r="Z43" s="34" t="inlineStr">
        <is>
          <t/>
        </is>
      </c>
      <c r="AA43" s="35" t="inlineStr">
        <is>
          <t/>
        </is>
      </c>
      <c r="AB43" s="36" t="inlineStr">
        <is>
          <t/>
        </is>
      </c>
      <c r="AC43" s="37" t="inlineStr">
        <is>
          <t/>
        </is>
      </c>
      <c r="AD43" s="38" t="inlineStr">
        <is>
          <t>FY 2015</t>
        </is>
      </c>
      <c r="AE43" s="39" t="inlineStr">
        <is>
          <t>56874-70P</t>
        </is>
      </c>
      <c r="AF43" s="40" t="inlineStr">
        <is>
          <t>James Hind</t>
        </is>
      </c>
      <c r="AG43" s="41" t="inlineStr">
        <is>
          <t>Co-Founder and Chief Executive Officer</t>
        </is>
      </c>
      <c r="AH43" s="42" t="inlineStr">
        <is>
          <t>james.hind@carwow.co.uk</t>
        </is>
      </c>
      <c r="AI43" s="43" t="inlineStr">
        <is>
          <t>+44 (0)20 3780 7179</t>
        </is>
      </c>
      <c r="AJ43" s="44" t="inlineStr">
        <is>
          <t>London, United Kingdom</t>
        </is>
      </c>
      <c r="AK43" s="45" t="inlineStr">
        <is>
          <t>6th Floor, New Penderel House</t>
        </is>
      </c>
      <c r="AL43" s="46" t="inlineStr">
        <is>
          <t>283-288 High Holborn</t>
        </is>
      </c>
      <c r="AM43" s="47" t="inlineStr">
        <is>
          <t>London</t>
        </is>
      </c>
      <c r="AN43" s="48" t="inlineStr">
        <is>
          <t>England</t>
        </is>
      </c>
      <c r="AO43" s="49" t="inlineStr">
        <is>
          <t>WC1V 7HP</t>
        </is>
      </c>
      <c r="AP43" s="50" t="inlineStr">
        <is>
          <t>United Kingdom</t>
        </is>
      </c>
      <c r="AQ43" s="51" t="inlineStr">
        <is>
          <t>+44 (0)80 0808 5885</t>
        </is>
      </c>
      <c r="AR43" s="52" t="inlineStr">
        <is>
          <t/>
        </is>
      </c>
      <c r="AS43" s="53" t="inlineStr">
        <is>
          <t>hello@carwow.co.uk</t>
        </is>
      </c>
      <c r="AT43" s="54" t="inlineStr">
        <is>
          <t>Europe</t>
        </is>
      </c>
      <c r="AU43" s="55" t="inlineStr">
        <is>
          <t>Western Europe</t>
        </is>
      </c>
      <c r="AV43" s="56" t="inlineStr">
        <is>
          <t>The company raised approximately GBP 29.7 million of Series C venture funding in a deal led by Vitruvian Partners on July 31, 2017. Accel and Balderton Capital also participated in this round. The company, which has raised GBP 48.7 million in total funding to date, intends to use the funds to expand operations, increase their marketing efforts, build the dealer network and grow abroad.</t>
        </is>
      </c>
      <c r="AW43" s="57" t="inlineStr">
        <is>
          <t>Accel, Balderton Capital, Episode 1 Ventures, Samos Investments, Vitruvian Partners</t>
        </is>
      </c>
      <c r="AX43" s="58" t="n">
        <v>5.0</v>
      </c>
      <c r="AY43" s="59" t="inlineStr">
        <is>
          <t/>
        </is>
      </c>
      <c r="AZ43" s="60" t="inlineStr">
        <is>
          <t/>
        </is>
      </c>
      <c r="BA43" s="61" t="inlineStr">
        <is>
          <t/>
        </is>
      </c>
      <c r="BB43" s="62" t="inlineStr">
        <is>
          <t>Accel (www.accel.com), Balderton Capital (www.balderton.com), Episode 1 Ventures (www.episode1.com), Samos Investments (www.samos.uk.com), Vitruvian Partners (www.vitruvianpartners.com)</t>
        </is>
      </c>
      <c r="BC43" s="63" t="inlineStr">
        <is>
          <t/>
        </is>
      </c>
      <c r="BD43" s="64" t="inlineStr">
        <is>
          <t/>
        </is>
      </c>
      <c r="BE43" s="65" t="inlineStr">
        <is>
          <t>Erevena (Consulting), Future Fifty (Consulting)</t>
        </is>
      </c>
      <c r="BF43" s="66" t="inlineStr">
        <is>
          <t/>
        </is>
      </c>
      <c r="BG43" s="67" t="n">
        <v>41547.0</v>
      </c>
      <c r="BH43" s="68" t="inlineStr">
        <is>
          <t/>
        </is>
      </c>
      <c r="BI43" s="69" t="inlineStr">
        <is>
          <t/>
        </is>
      </c>
      <c r="BJ43" s="70" t="inlineStr">
        <is>
          <t/>
        </is>
      </c>
      <c r="BK43" s="71" t="inlineStr">
        <is>
          <t/>
        </is>
      </c>
      <c r="BL43" s="72" t="inlineStr">
        <is>
          <t>Angel (individual)</t>
        </is>
      </c>
      <c r="BM43" s="73" t="inlineStr">
        <is>
          <t>Angel</t>
        </is>
      </c>
      <c r="BN43" s="74" t="inlineStr">
        <is>
          <t/>
        </is>
      </c>
      <c r="BO43" s="75" t="inlineStr">
        <is>
          <t>Individual</t>
        </is>
      </c>
      <c r="BP43" s="76" t="inlineStr">
        <is>
          <t/>
        </is>
      </c>
      <c r="BQ43" s="77" t="inlineStr">
        <is>
          <t/>
        </is>
      </c>
      <c r="BR43" s="78" t="inlineStr">
        <is>
          <t/>
        </is>
      </c>
      <c r="BS43" s="79" t="inlineStr">
        <is>
          <t>Completed</t>
        </is>
      </c>
      <c r="BT43" s="80" t="n">
        <v>42946.0</v>
      </c>
      <c r="BU43" s="81" t="n">
        <v>39.52</v>
      </c>
      <c r="BV43" s="82" t="inlineStr">
        <is>
          <t>Actual</t>
        </is>
      </c>
      <c r="BW43" s="83" t="inlineStr">
        <is>
          <t/>
        </is>
      </c>
      <c r="BX43" s="84" t="inlineStr">
        <is>
          <t/>
        </is>
      </c>
      <c r="BY43" s="85" t="inlineStr">
        <is>
          <t>Later Stage VC</t>
        </is>
      </c>
      <c r="BZ43" s="86" t="inlineStr">
        <is>
          <t>Series C</t>
        </is>
      </c>
      <c r="CA43" s="87" t="inlineStr">
        <is>
          <t/>
        </is>
      </c>
      <c r="CB43" s="88" t="inlineStr">
        <is>
          <t>Venture Capital</t>
        </is>
      </c>
      <c r="CC43" s="89" t="inlineStr">
        <is>
          <t/>
        </is>
      </c>
      <c r="CD43" s="90" t="inlineStr">
        <is>
          <t/>
        </is>
      </c>
      <c r="CE43" s="91" t="inlineStr">
        <is>
          <t/>
        </is>
      </c>
      <c r="CF43" s="92" t="inlineStr">
        <is>
          <t>Completed</t>
        </is>
      </c>
      <c r="CG43" s="93" t="inlineStr">
        <is>
          <t>-3,46%</t>
        </is>
      </c>
      <c r="CH43" s="94" t="inlineStr">
        <is>
          <t>6</t>
        </is>
      </c>
      <c r="CI43" s="95" t="inlineStr">
        <is>
          <t>-0,06%</t>
        </is>
      </c>
      <c r="CJ43" s="96" t="inlineStr">
        <is>
          <t>-1,86%</t>
        </is>
      </c>
      <c r="CK43" s="97" t="inlineStr">
        <is>
          <t>-11,88%</t>
        </is>
      </c>
      <c r="CL43" s="98" t="inlineStr">
        <is>
          <t>2</t>
        </is>
      </c>
      <c r="CM43" s="99" t="inlineStr">
        <is>
          <t>0,68%</t>
        </is>
      </c>
      <c r="CN43" s="100" t="inlineStr">
        <is>
          <t>93</t>
        </is>
      </c>
      <c r="CO43" s="101" t="inlineStr">
        <is>
          <t>-23,39%</t>
        </is>
      </c>
      <c r="CP43" s="102" t="inlineStr">
        <is>
          <t>4</t>
        </is>
      </c>
      <c r="CQ43" s="103" t="inlineStr">
        <is>
          <t>-0,38%</t>
        </is>
      </c>
      <c r="CR43" s="104" t="inlineStr">
        <is>
          <t>17</t>
        </is>
      </c>
      <c r="CS43" s="105" t="inlineStr">
        <is>
          <t>0,77%</t>
        </is>
      </c>
      <c r="CT43" s="106" t="inlineStr">
        <is>
          <t>92</t>
        </is>
      </c>
      <c r="CU43" s="107" t="inlineStr">
        <is>
          <t>0,59%</t>
        </is>
      </c>
      <c r="CV43" s="108" t="inlineStr">
        <is>
          <t>93</t>
        </is>
      </c>
      <c r="CW43" s="109" t="inlineStr">
        <is>
          <t>41,58x</t>
        </is>
      </c>
      <c r="CX43" s="110" t="inlineStr">
        <is>
          <t>96</t>
        </is>
      </c>
      <c r="CY43" s="111" t="inlineStr">
        <is>
          <t>-0,06x</t>
        </is>
      </c>
      <c r="CZ43" s="112" t="inlineStr">
        <is>
          <t>-0,14%</t>
        </is>
      </c>
      <c r="DA43" s="113" t="inlineStr">
        <is>
          <t>99,11x</t>
        </is>
      </c>
      <c r="DB43" s="114" t="inlineStr">
        <is>
          <t>99</t>
        </is>
      </c>
      <c r="DC43" s="115" t="inlineStr">
        <is>
          <t>25,15x</t>
        </is>
      </c>
      <c r="DD43" s="116" t="inlineStr">
        <is>
          <t>91</t>
        </is>
      </c>
      <c r="DE43" s="117" t="inlineStr">
        <is>
          <t>140,00x</t>
        </is>
      </c>
      <c r="DF43" s="118" t="inlineStr">
        <is>
          <t>99</t>
        </is>
      </c>
      <c r="DG43" s="119" t="inlineStr">
        <is>
          <t>58,22x</t>
        </is>
      </c>
      <c r="DH43" s="120" t="inlineStr">
        <is>
          <t>98</t>
        </is>
      </c>
      <c r="DI43" s="121" t="inlineStr">
        <is>
          <t>31,78x</t>
        </is>
      </c>
      <c r="DJ43" s="122" t="inlineStr">
        <is>
          <t>90</t>
        </is>
      </c>
      <c r="DK43" s="123" t="inlineStr">
        <is>
          <t>18,51x</t>
        </is>
      </c>
      <c r="DL43" s="124" t="inlineStr">
        <is>
          <t>92</t>
        </is>
      </c>
      <c r="DM43" s="125" t="inlineStr">
        <is>
          <t>52.449</t>
        </is>
      </c>
      <c r="DN43" s="126" t="inlineStr">
        <is>
          <t>-2.547</t>
        </is>
      </c>
      <c r="DO43" s="127" t="inlineStr">
        <is>
          <t>-4,63%</t>
        </is>
      </c>
      <c r="DP43" s="128" t="inlineStr">
        <is>
          <t>25.130</t>
        </is>
      </c>
      <c r="DQ43" s="129" t="inlineStr">
        <is>
          <t>227</t>
        </is>
      </c>
      <c r="DR43" s="130" t="inlineStr">
        <is>
          <t>0,91%</t>
        </is>
      </c>
      <c r="DS43" s="131" t="inlineStr">
        <is>
          <t>2.100</t>
        </is>
      </c>
      <c r="DT43" s="132" t="inlineStr">
        <is>
          <t>-10</t>
        </is>
      </c>
      <c r="DU43" s="133" t="inlineStr">
        <is>
          <t>-0,47%</t>
        </is>
      </c>
      <c r="DV43" s="134" t="inlineStr">
        <is>
          <t>6.905</t>
        </is>
      </c>
      <c r="DW43" s="135" t="inlineStr">
        <is>
          <t>66</t>
        </is>
      </c>
      <c r="DX43" s="136" t="inlineStr">
        <is>
          <t>0,97%</t>
        </is>
      </c>
      <c r="DY43" s="137" t="inlineStr">
        <is>
          <t>PitchBook Research</t>
        </is>
      </c>
      <c r="DZ43" s="785">
        <f>HYPERLINK("https://my.pitchbook.com?c=59925-34", "View company online")</f>
      </c>
    </row>
    <row r="44">
      <c r="A44" s="139" t="inlineStr">
        <is>
          <t>99225-91</t>
        </is>
      </c>
      <c r="B44" s="140" t="inlineStr">
        <is>
          <t>Happn</t>
        </is>
      </c>
      <c r="C44" s="141" t="inlineStr">
        <is>
          <t/>
        </is>
      </c>
      <c r="D44" s="142" t="inlineStr">
        <is>
          <t/>
        </is>
      </c>
      <c r="E44" s="143" t="inlineStr">
        <is>
          <t>99225-91</t>
        </is>
      </c>
      <c r="F44" s="144" t="inlineStr">
        <is>
          <t>Developer of location-based dating application designed to help people contact each other over the Internet to arrange a date. The company's location-based dating application helps people to build connections based on real-time interactions as well as report unwanted behavior or block a profile, enabling users interact with people with common interest over the Internet and arrange a date.</t>
        </is>
      </c>
      <c r="G44" s="145" t="inlineStr">
        <is>
          <t>Information Technology</t>
        </is>
      </c>
      <c r="H44" s="146" t="inlineStr">
        <is>
          <t>Other Information Technology</t>
        </is>
      </c>
      <c r="I44" s="147" t="inlineStr">
        <is>
          <t>Other Information Technology</t>
        </is>
      </c>
      <c r="J44" s="148" t="inlineStr">
        <is>
          <t>Other Information Technology*; Communication Software; Social Content</t>
        </is>
      </c>
      <c r="K44" s="149" t="inlineStr">
        <is>
          <t>Mobile</t>
        </is>
      </c>
      <c r="L44" s="150" t="inlineStr">
        <is>
          <t>Venture Capital-Backed</t>
        </is>
      </c>
      <c r="M44" s="151" t="n">
        <v>60.26</v>
      </c>
      <c r="N44" s="152" t="inlineStr">
        <is>
          <t>Generating Revenue</t>
        </is>
      </c>
      <c r="O44" s="153" t="inlineStr">
        <is>
          <t>Privately Held (backing)</t>
        </is>
      </c>
      <c r="P44" s="154" t="inlineStr">
        <is>
          <t>Venture Capital</t>
        </is>
      </c>
      <c r="Q44" s="155" t="inlineStr">
        <is>
          <t>www.happn.com</t>
        </is>
      </c>
      <c r="R44" s="156" t="n">
        <v>65.0</v>
      </c>
      <c r="S44" s="157" t="inlineStr">
        <is>
          <t/>
        </is>
      </c>
      <c r="T44" s="158" t="inlineStr">
        <is>
          <t/>
        </is>
      </c>
      <c r="U44" s="159" t="n">
        <v>2011.0</v>
      </c>
      <c r="V44" s="160" t="inlineStr">
        <is>
          <t/>
        </is>
      </c>
      <c r="W44" s="161" t="inlineStr">
        <is>
          <t/>
        </is>
      </c>
      <c r="X44" s="162" t="inlineStr">
        <is>
          <t/>
        </is>
      </c>
      <c r="Y44" s="163" t="n">
        <v>5.02545</v>
      </c>
      <c r="Z44" s="164" t="n">
        <v>0.0</v>
      </c>
      <c r="AA44" s="165" t="inlineStr">
        <is>
          <t/>
        </is>
      </c>
      <c r="AB44" s="166" t="inlineStr">
        <is>
          <t/>
        </is>
      </c>
      <c r="AC44" s="167" t="n">
        <v>-6.62404</v>
      </c>
      <c r="AD44" s="168" t="inlineStr">
        <is>
          <t>FY 2015</t>
        </is>
      </c>
      <c r="AE44" s="169" t="inlineStr">
        <is>
          <t>61174-45P</t>
        </is>
      </c>
      <c r="AF44" s="170" t="inlineStr">
        <is>
          <t>Didier Rappaport</t>
        </is>
      </c>
      <c r="AG44" s="171" t="inlineStr">
        <is>
          <t>Co-Founder, Chairman, President &amp; Chief Executive Officer</t>
        </is>
      </c>
      <c r="AH44" s="172" t="inlineStr">
        <is>
          <t>didier.rappaport@happn.com</t>
        </is>
      </c>
      <c r="AI44" s="173" t="inlineStr">
        <is>
          <t/>
        </is>
      </c>
      <c r="AJ44" s="174" t="inlineStr">
        <is>
          <t>Paris, France</t>
        </is>
      </c>
      <c r="AK44" s="175" t="inlineStr">
        <is>
          <t>8, rue du Sentier</t>
        </is>
      </c>
      <c r="AL44" s="176" t="inlineStr">
        <is>
          <t/>
        </is>
      </c>
      <c r="AM44" s="177" t="inlineStr">
        <is>
          <t>Paris</t>
        </is>
      </c>
      <c r="AN44" s="178" t="inlineStr">
        <is>
          <t/>
        </is>
      </c>
      <c r="AO44" s="179" t="inlineStr">
        <is>
          <t>75002</t>
        </is>
      </c>
      <c r="AP44" s="180" t="inlineStr">
        <is>
          <t>France</t>
        </is>
      </c>
      <c r="AQ44" s="181" t="inlineStr">
        <is>
          <t/>
        </is>
      </c>
      <c r="AR44" s="182" t="inlineStr">
        <is>
          <t/>
        </is>
      </c>
      <c r="AS44" s="183" t="inlineStr">
        <is>
          <t>contact@happn.fr</t>
        </is>
      </c>
      <c r="AT44" s="184" t="inlineStr">
        <is>
          <t>Europe</t>
        </is>
      </c>
      <c r="AU44" s="185" t="inlineStr">
        <is>
          <t>Western Europe</t>
        </is>
      </c>
      <c r="AV44" s="186" t="inlineStr">
        <is>
          <t>The company raised approximately EUR 44 million of Series C venture funding from undisclosed investors in February 2017.</t>
        </is>
      </c>
      <c r="AW44" s="187" t="inlineStr">
        <is>
          <t>Alven Capital Partners, DN Capital, Fabrice Grinda, Flight Ventures, FoundersGuild, Gil Penchina, IdInvest Partners, Julien Coustaury, Paul Holliman, Raine Ventures</t>
        </is>
      </c>
      <c r="AX44" s="188" t="n">
        <v>10.0</v>
      </c>
      <c r="AY44" s="189" t="inlineStr">
        <is>
          <t/>
        </is>
      </c>
      <c r="AZ44" s="190" t="inlineStr">
        <is>
          <t/>
        </is>
      </c>
      <c r="BA44" s="191" t="inlineStr">
        <is>
          <t/>
        </is>
      </c>
      <c r="BB44" s="192" t="inlineStr">
        <is>
          <t>Alven Capital Partners (www.alven.co), DN Capital (www.dncapital.com), Fabrice Grinda (www.fabricegrinda.com), Flight Ventures (www.flight.vc), FoundersGuild (www.foundersguild.com), IdInvest Partners (www.idinvest.com)</t>
        </is>
      </c>
      <c r="BC44" s="193" t="inlineStr">
        <is>
          <t/>
        </is>
      </c>
      <c r="BD44" s="194" t="inlineStr">
        <is>
          <t/>
        </is>
      </c>
      <c r="BE44" s="195" t="inlineStr">
        <is>
          <t/>
        </is>
      </c>
      <c r="BF44" s="196" t="inlineStr">
        <is>
          <t/>
        </is>
      </c>
      <c r="BG44" s="197" t="n">
        <v>41334.0</v>
      </c>
      <c r="BH44" s="198" t="inlineStr">
        <is>
          <t/>
        </is>
      </c>
      <c r="BI44" s="199" t="inlineStr">
        <is>
          <t/>
        </is>
      </c>
      <c r="BJ44" s="200" t="inlineStr">
        <is>
          <t/>
        </is>
      </c>
      <c r="BK44" s="201" t="inlineStr">
        <is>
          <t/>
        </is>
      </c>
      <c r="BL44" s="202" t="inlineStr">
        <is>
          <t>Seed Round</t>
        </is>
      </c>
      <c r="BM44" s="203" t="inlineStr">
        <is>
          <t>Seed</t>
        </is>
      </c>
      <c r="BN44" s="204" t="inlineStr">
        <is>
          <t/>
        </is>
      </c>
      <c r="BO44" s="205" t="inlineStr">
        <is>
          <t>Venture Capital</t>
        </is>
      </c>
      <c r="BP44" s="206" t="inlineStr">
        <is>
          <t/>
        </is>
      </c>
      <c r="BQ44" s="207" t="inlineStr">
        <is>
          <t/>
        </is>
      </c>
      <c r="BR44" s="208" t="inlineStr">
        <is>
          <t/>
        </is>
      </c>
      <c r="BS44" s="209" t="inlineStr">
        <is>
          <t>Completed</t>
        </is>
      </c>
      <c r="BT44" s="210" t="n">
        <v>42767.0</v>
      </c>
      <c r="BU44" s="211" t="n">
        <v>41.31</v>
      </c>
      <c r="BV44" s="212" t="inlineStr">
        <is>
          <t>Estimated</t>
        </is>
      </c>
      <c r="BW44" s="213" t="inlineStr">
        <is>
          <t/>
        </is>
      </c>
      <c r="BX44" s="214" t="inlineStr">
        <is>
          <t/>
        </is>
      </c>
      <c r="BY44" s="215" t="inlineStr">
        <is>
          <t>Later Stage VC</t>
        </is>
      </c>
      <c r="BZ44" s="216" t="inlineStr">
        <is>
          <t>Series C</t>
        </is>
      </c>
      <c r="CA44" s="217" t="inlineStr">
        <is>
          <t/>
        </is>
      </c>
      <c r="CB44" s="218" t="inlineStr">
        <is>
          <t>Venture Capital</t>
        </is>
      </c>
      <c r="CC44" s="219" t="inlineStr">
        <is>
          <t/>
        </is>
      </c>
      <c r="CD44" s="220" t="inlineStr">
        <is>
          <t/>
        </is>
      </c>
      <c r="CE44" s="221" t="inlineStr">
        <is>
          <t/>
        </is>
      </c>
      <c r="CF44" s="222" t="inlineStr">
        <is>
          <t>Completed</t>
        </is>
      </c>
      <c r="CG44" s="223" t="inlineStr">
        <is>
          <t>-9,78%</t>
        </is>
      </c>
      <c r="CH44" s="224" t="inlineStr">
        <is>
          <t>1</t>
        </is>
      </c>
      <c r="CI44" s="225" t="inlineStr">
        <is>
          <t>-0,05%</t>
        </is>
      </c>
      <c r="CJ44" s="226" t="inlineStr">
        <is>
          <t>-0,50%</t>
        </is>
      </c>
      <c r="CK44" s="227" t="inlineStr">
        <is>
          <t>-20,34%</t>
        </is>
      </c>
      <c r="CL44" s="228" t="inlineStr">
        <is>
          <t>1</t>
        </is>
      </c>
      <c r="CM44" s="229" t="inlineStr">
        <is>
          <t>0,78%</t>
        </is>
      </c>
      <c r="CN44" s="230" t="inlineStr">
        <is>
          <t>94</t>
        </is>
      </c>
      <c r="CO44" s="231" t="inlineStr">
        <is>
          <t>-20,34%</t>
        </is>
      </c>
      <c r="CP44" s="232" t="inlineStr">
        <is>
          <t>5</t>
        </is>
      </c>
      <c r="CQ44" s="233" t="inlineStr">
        <is>
          <t/>
        </is>
      </c>
      <c r="CR44" s="234" t="inlineStr">
        <is>
          <t/>
        </is>
      </c>
      <c r="CS44" s="235" t="inlineStr">
        <is>
          <t>1,58%</t>
        </is>
      </c>
      <c r="CT44" s="236" t="inlineStr">
        <is>
          <t>97</t>
        </is>
      </c>
      <c r="CU44" s="237" t="inlineStr">
        <is>
          <t>-0,02%</t>
        </is>
      </c>
      <c r="CV44" s="238" t="inlineStr">
        <is>
          <t>19</t>
        </is>
      </c>
      <c r="CW44" s="239" t="inlineStr">
        <is>
          <t>613,00x</t>
        </is>
      </c>
      <c r="CX44" s="240" t="inlineStr">
        <is>
          <t>100</t>
        </is>
      </c>
      <c r="CY44" s="241" t="inlineStr">
        <is>
          <t>2,63x</t>
        </is>
      </c>
      <c r="CZ44" s="242" t="inlineStr">
        <is>
          <t>0,43%</t>
        </is>
      </c>
      <c r="DA44" s="243" t="inlineStr">
        <is>
          <t>27,45x</t>
        </is>
      </c>
      <c r="DB44" s="244" t="inlineStr">
        <is>
          <t>96</t>
        </is>
      </c>
      <c r="DC44" s="245" t="inlineStr">
        <is>
          <t>1.198,55x</t>
        </is>
      </c>
      <c r="DD44" s="246" t="inlineStr">
        <is>
          <t>100</t>
        </is>
      </c>
      <c r="DE44" s="247" t="inlineStr">
        <is>
          <t>27,45x</t>
        </is>
      </c>
      <c r="DF44" s="248" t="inlineStr">
        <is>
          <t>94</t>
        </is>
      </c>
      <c r="DG44" s="249" t="inlineStr">
        <is>
          <t/>
        </is>
      </c>
      <c r="DH44" s="250" t="inlineStr">
        <is>
          <t/>
        </is>
      </c>
      <c r="DI44" s="251" t="inlineStr">
        <is>
          <t>2.317,84x</t>
        </is>
      </c>
      <c r="DJ44" s="252" t="inlineStr">
        <is>
          <t>100</t>
        </is>
      </c>
      <c r="DK44" s="253" t="inlineStr">
        <is>
          <t>79,25x</t>
        </is>
      </c>
      <c r="DL44" s="254" t="inlineStr">
        <is>
          <t>98</t>
        </is>
      </c>
      <c r="DM44" s="255" t="inlineStr">
        <is>
          <t>10.167</t>
        </is>
      </c>
      <c r="DN44" s="256" t="inlineStr">
        <is>
          <t>87</t>
        </is>
      </c>
      <c r="DO44" s="257" t="inlineStr">
        <is>
          <t>0,86%</t>
        </is>
      </c>
      <c r="DP44" s="258" t="inlineStr">
        <is>
          <t>1.826.384</t>
        </is>
      </c>
      <c r="DQ44" s="259" t="inlineStr">
        <is>
          <t>22.781</t>
        </is>
      </c>
      <c r="DR44" s="260" t="inlineStr">
        <is>
          <t>1,26%</t>
        </is>
      </c>
      <c r="DS44" s="261" t="inlineStr">
        <is>
          <t/>
        </is>
      </c>
      <c r="DT44" s="262" t="inlineStr">
        <is>
          <t/>
        </is>
      </c>
      <c r="DU44" s="263" t="inlineStr">
        <is>
          <t/>
        </is>
      </c>
      <c r="DV44" s="264" t="inlineStr">
        <is>
          <t>29.645</t>
        </is>
      </c>
      <c r="DW44" s="265" t="inlineStr">
        <is>
          <t>-9</t>
        </is>
      </c>
      <c r="DX44" s="266" t="inlineStr">
        <is>
          <t>-0,03%</t>
        </is>
      </c>
      <c r="DY44" s="267" t="inlineStr">
        <is>
          <t>PitchBook Research</t>
        </is>
      </c>
      <c r="DZ44" s="786">
        <f>HYPERLINK("https://my.pitchbook.com?c=99225-91", "View company online")</f>
      </c>
    </row>
    <row r="45">
      <c r="A45" s="9" t="inlineStr">
        <is>
          <t>63910-54</t>
        </is>
      </c>
      <c r="B45" s="10" t="inlineStr">
        <is>
          <t>Raisin</t>
        </is>
      </c>
      <c r="C45" s="11" t="inlineStr">
        <is>
          <t>SavingGlobal, WS Finanz, WeltSparen</t>
        </is>
      </c>
      <c r="D45" s="12" t="inlineStr">
        <is>
          <t/>
        </is>
      </c>
      <c r="E45" s="13" t="inlineStr">
        <is>
          <t>63910-54</t>
        </is>
      </c>
      <c r="F45" s="14" t="inlineStr">
        <is>
          <t>Operator of a deposit marketplace intended to provide access to the best interest rates from across Europe. The company's platform allows users to access term deposits safely and securely online, with deposits guaranteed and seamlessly transfer funds to company's network of partner banks across Europe, enabling users to register once and manage all their deposits through a single platform.</t>
        </is>
      </c>
      <c r="G45" s="15" t="inlineStr">
        <is>
          <t>Information Technology</t>
        </is>
      </c>
      <c r="H45" s="16" t="inlineStr">
        <is>
          <t>Software</t>
        </is>
      </c>
      <c r="I45" s="17" t="inlineStr">
        <is>
          <t>Financial Software</t>
        </is>
      </c>
      <c r="J45" s="18" t="inlineStr">
        <is>
          <t>Financial Software*; Other Financial Services; Social/Platform Software</t>
        </is>
      </c>
      <c r="K45" s="19" t="inlineStr">
        <is>
          <t>FinTech, SaaS</t>
        </is>
      </c>
      <c r="L45" s="20" t="inlineStr">
        <is>
          <t>Venture Capital-Backed</t>
        </is>
      </c>
      <c r="M45" s="21" t="n">
        <v>60.0</v>
      </c>
      <c r="N45" s="22" t="inlineStr">
        <is>
          <t>Generating Revenue</t>
        </is>
      </c>
      <c r="O45" s="23" t="inlineStr">
        <is>
          <t>Privately Held (backing)</t>
        </is>
      </c>
      <c r="P45" s="24" t="inlineStr">
        <is>
          <t>Venture Capital</t>
        </is>
      </c>
      <c r="Q45" s="25" t="inlineStr">
        <is>
          <t>www.raisin.com</t>
        </is>
      </c>
      <c r="R45" s="26" t="n">
        <v>39.0</v>
      </c>
      <c r="S45" s="27" t="inlineStr">
        <is>
          <t/>
        </is>
      </c>
      <c r="T45" s="28" t="inlineStr">
        <is>
          <t/>
        </is>
      </c>
      <c r="U45" s="29" t="n">
        <v>2013.0</v>
      </c>
      <c r="V45" s="30" t="inlineStr">
        <is>
          <t/>
        </is>
      </c>
      <c r="W45" s="31" t="inlineStr">
        <is>
          <t/>
        </is>
      </c>
      <c r="X45" s="32" t="inlineStr">
        <is>
          <r>
            <rPr>
              <b/>
              <color rgb="ff26854d"/>
              <rFont val="Arial"/>
              <sz val="8.0"/>
            </rPr>
            <t>News</t>
          </r>
          <r>
            <rPr>
              <color rgb="ff707070"/>
              <rFont val="Arial"/>
              <sz val="7.0"/>
            </rPr>
            <t xml:space="preserve"> NEW  </t>
          </r>
        </is>
      </c>
      <c r="Y45" s="33" t="inlineStr">
        <is>
          <t/>
        </is>
      </c>
      <c r="Z45" s="34" t="inlineStr">
        <is>
          <t/>
        </is>
      </c>
      <c r="AA45" s="35" t="inlineStr">
        <is>
          <t/>
        </is>
      </c>
      <c r="AB45" s="36" t="inlineStr">
        <is>
          <t/>
        </is>
      </c>
      <c r="AC45" s="37" t="inlineStr">
        <is>
          <t/>
        </is>
      </c>
      <c r="AD45" s="38" t="inlineStr">
        <is>
          <t/>
        </is>
      </c>
      <c r="AE45" s="39" t="inlineStr">
        <is>
          <t>69730-57P</t>
        </is>
      </c>
      <c r="AF45" s="40" t="inlineStr">
        <is>
          <t>Frank Freund</t>
        </is>
      </c>
      <c r="AG45" s="41" t="inlineStr">
        <is>
          <t>Chief Financial Officer &amp; Founder</t>
        </is>
      </c>
      <c r="AH45" s="42" t="inlineStr">
        <is>
          <t>frank.freund@raisin.com</t>
        </is>
      </c>
      <c r="AI45" s="43" t="inlineStr">
        <is>
          <t>+49 (0)30 7701 9129 5</t>
        </is>
      </c>
      <c r="AJ45" s="44" t="inlineStr">
        <is>
          <t>Berlin, Germany</t>
        </is>
      </c>
      <c r="AK45" s="45" t="inlineStr">
        <is>
          <t>P.O. Box 130151</t>
        </is>
      </c>
      <c r="AL45" s="46" t="inlineStr">
        <is>
          <t/>
        </is>
      </c>
      <c r="AM45" s="47" t="inlineStr">
        <is>
          <t>Berlin</t>
        </is>
      </c>
      <c r="AN45" s="48" t="inlineStr">
        <is>
          <t/>
        </is>
      </c>
      <c r="AO45" s="49" t="inlineStr">
        <is>
          <t>13601</t>
        </is>
      </c>
      <c r="AP45" s="50" t="inlineStr">
        <is>
          <t>Germany</t>
        </is>
      </c>
      <c r="AQ45" s="51" t="inlineStr">
        <is>
          <t>+49 (0)30 7701 9129 5</t>
        </is>
      </c>
      <c r="AR45" s="52" t="inlineStr">
        <is>
          <t/>
        </is>
      </c>
      <c r="AS45" s="53" t="inlineStr">
        <is>
          <t>service@raisin.com</t>
        </is>
      </c>
      <c r="AT45" s="54" t="inlineStr">
        <is>
          <t>Europe</t>
        </is>
      </c>
      <c r="AU45" s="55" t="inlineStr">
        <is>
          <t>Western Europe</t>
        </is>
      </c>
      <c r="AV45" s="56" t="inlineStr">
        <is>
          <t>The company raised EUR 30 million of Series C venture funding in deal led by Thrive Capital on June 9, 2017. Ribbit Capital, Binomial Ventures and Index Ventures also participated in the round. The funds will be used to continue international expansion, launch new localized versions of the service in markets such as Italy and to launch new simple investment products.</t>
        </is>
      </c>
      <c r="AW45" s="57" t="inlineStr">
        <is>
          <t>Avala Capital, Binomial Ventures, btov Partners, Cavalry Ventures, DN Capital, Index Ventures (UK), Raffay, Ribbit Capital, Thrive Capital, Tom Stafford, Yuri Milner</t>
        </is>
      </c>
      <c r="AX45" s="58" t="n">
        <v>11.0</v>
      </c>
      <c r="AY45" s="59" t="inlineStr">
        <is>
          <t/>
        </is>
      </c>
      <c r="AZ45" s="60" t="inlineStr">
        <is>
          <t/>
        </is>
      </c>
      <c r="BA45" s="61" t="inlineStr">
        <is>
          <t/>
        </is>
      </c>
      <c r="BB45" s="62" t="inlineStr">
        <is>
          <t>Avala Capital (www.avalacapital.com), Binomial Ventures (www.binomial.vc), btov Partners (www.btov.vc), Cavalry Ventures (www.cavalry.vc), DN Capital (www.dncapital.com), Index Ventures (UK) (www.indexventures.com), Raffay (www.raffay.com), Ribbit Capital (www.ribbitcap.com), Thrive Capital (www.thrivecap.com)</t>
        </is>
      </c>
      <c r="BC45" s="63" t="inlineStr">
        <is>
          <t/>
        </is>
      </c>
      <c r="BD45" s="64" t="inlineStr">
        <is>
          <t/>
        </is>
      </c>
      <c r="BE45" s="65" t="inlineStr">
        <is>
          <t/>
        </is>
      </c>
      <c r="BF45" s="66" t="inlineStr">
        <is>
          <t/>
        </is>
      </c>
      <c r="BG45" s="67" t="inlineStr">
        <is>
          <t/>
        </is>
      </c>
      <c r="BH45" s="68" t="n">
        <v>2.5</v>
      </c>
      <c r="BI45" s="69" t="inlineStr">
        <is>
          <t>Actual</t>
        </is>
      </c>
      <c r="BJ45" s="70" t="inlineStr">
        <is>
          <t/>
        </is>
      </c>
      <c r="BK45" s="71" t="inlineStr">
        <is>
          <t/>
        </is>
      </c>
      <c r="BL45" s="72" t="inlineStr">
        <is>
          <t>Angel (individual)</t>
        </is>
      </c>
      <c r="BM45" s="73" t="inlineStr">
        <is>
          <t>Angel</t>
        </is>
      </c>
      <c r="BN45" s="74" t="inlineStr">
        <is>
          <t/>
        </is>
      </c>
      <c r="BO45" s="75" t="inlineStr">
        <is>
          <t>Individual</t>
        </is>
      </c>
      <c r="BP45" s="76" t="inlineStr">
        <is>
          <t/>
        </is>
      </c>
      <c r="BQ45" s="77" t="inlineStr">
        <is>
          <t/>
        </is>
      </c>
      <c r="BR45" s="78" t="inlineStr">
        <is>
          <t/>
        </is>
      </c>
      <c r="BS45" s="79" t="inlineStr">
        <is>
          <t>Completed</t>
        </is>
      </c>
      <c r="BT45" s="80" t="n">
        <v>42895.0</v>
      </c>
      <c r="BU45" s="81" t="n">
        <v>30.0</v>
      </c>
      <c r="BV45" s="82" t="inlineStr">
        <is>
          <t>Actual</t>
        </is>
      </c>
      <c r="BW45" s="83" t="inlineStr">
        <is>
          <t/>
        </is>
      </c>
      <c r="BX45" s="84" t="inlineStr">
        <is>
          <t/>
        </is>
      </c>
      <c r="BY45" s="85" t="inlineStr">
        <is>
          <t>Later Stage VC</t>
        </is>
      </c>
      <c r="BZ45" s="86" t="inlineStr">
        <is>
          <t>Series C</t>
        </is>
      </c>
      <c r="CA45" s="87" t="inlineStr">
        <is>
          <t/>
        </is>
      </c>
      <c r="CB45" s="88" t="inlineStr">
        <is>
          <t>Venture Capital</t>
        </is>
      </c>
      <c r="CC45" s="89" t="inlineStr">
        <is>
          <t/>
        </is>
      </c>
      <c r="CD45" s="90" t="inlineStr">
        <is>
          <t/>
        </is>
      </c>
      <c r="CE45" s="91" t="inlineStr">
        <is>
          <t/>
        </is>
      </c>
      <c r="CF45" s="92" t="inlineStr">
        <is>
          <t>Completed</t>
        </is>
      </c>
      <c r="CG45" s="93" t="inlineStr">
        <is>
          <t>-6,20%</t>
        </is>
      </c>
      <c r="CH45" s="94" t="inlineStr">
        <is>
          <t>3</t>
        </is>
      </c>
      <c r="CI45" s="95" t="inlineStr">
        <is>
          <t>0,01%</t>
        </is>
      </c>
      <c r="CJ45" s="96" t="inlineStr">
        <is>
          <t>0,23%</t>
        </is>
      </c>
      <c r="CK45" s="97" t="inlineStr">
        <is>
          <t>-12,82%</t>
        </is>
      </c>
      <c r="CL45" s="98" t="inlineStr">
        <is>
          <t>2</t>
        </is>
      </c>
      <c r="CM45" s="99" t="inlineStr">
        <is>
          <t>0,43%</t>
        </is>
      </c>
      <c r="CN45" s="100" t="inlineStr">
        <is>
          <t>86</t>
        </is>
      </c>
      <c r="CO45" s="101" t="inlineStr">
        <is>
          <t>-12,82%</t>
        </is>
      </c>
      <c r="CP45" s="102" t="inlineStr">
        <is>
          <t>10</t>
        </is>
      </c>
      <c r="CQ45" s="103" t="inlineStr">
        <is>
          <t/>
        </is>
      </c>
      <c r="CR45" s="104" t="inlineStr">
        <is>
          <t/>
        </is>
      </c>
      <c r="CS45" s="105" t="inlineStr">
        <is>
          <t/>
        </is>
      </c>
      <c r="CT45" s="106" t="inlineStr">
        <is>
          <t/>
        </is>
      </c>
      <c r="CU45" s="107" t="inlineStr">
        <is>
          <t>0,43%</t>
        </is>
      </c>
      <c r="CV45" s="108" t="inlineStr">
        <is>
          <t>89</t>
        </is>
      </c>
      <c r="CW45" s="109" t="inlineStr">
        <is>
          <t>1,35x</t>
        </is>
      </c>
      <c r="CX45" s="110" t="inlineStr">
        <is>
          <t>56</t>
        </is>
      </c>
      <c r="CY45" s="111" t="inlineStr">
        <is>
          <t>0,00x</t>
        </is>
      </c>
      <c r="CZ45" s="112" t="inlineStr">
        <is>
          <t>0,11%</t>
        </is>
      </c>
      <c r="DA45" s="113" t="inlineStr">
        <is>
          <t>0,49x</t>
        </is>
      </c>
      <c r="DB45" s="114" t="inlineStr">
        <is>
          <t>34</t>
        </is>
      </c>
      <c r="DC45" s="115" t="inlineStr">
        <is>
          <t>2,22x</t>
        </is>
      </c>
      <c r="DD45" s="116" t="inlineStr">
        <is>
          <t>64</t>
        </is>
      </c>
      <c r="DE45" s="117" t="inlineStr">
        <is>
          <t>0,49x</t>
        </is>
      </c>
      <c r="DF45" s="118" t="inlineStr">
        <is>
          <t>33</t>
        </is>
      </c>
      <c r="DG45" s="119" t="inlineStr">
        <is>
          <t/>
        </is>
      </c>
      <c r="DH45" s="120" t="inlineStr">
        <is>
          <t/>
        </is>
      </c>
      <c r="DI45" s="121" t="inlineStr">
        <is>
          <t/>
        </is>
      </c>
      <c r="DJ45" s="122" t="inlineStr">
        <is>
          <t/>
        </is>
      </c>
      <c r="DK45" s="123" t="inlineStr">
        <is>
          <t>2,22x</t>
        </is>
      </c>
      <c r="DL45" s="124" t="inlineStr">
        <is>
          <t>66</t>
        </is>
      </c>
      <c r="DM45" s="125" t="inlineStr">
        <is>
          <t>177</t>
        </is>
      </c>
      <c r="DN45" s="126" t="inlineStr">
        <is>
          <t>20</t>
        </is>
      </c>
      <c r="DO45" s="127" t="inlineStr">
        <is>
          <t>12,74%</t>
        </is>
      </c>
      <c r="DP45" s="128" t="inlineStr">
        <is>
          <t/>
        </is>
      </c>
      <c r="DQ45" s="129" t="inlineStr">
        <is>
          <t/>
        </is>
      </c>
      <c r="DR45" s="130" t="inlineStr">
        <is>
          <t/>
        </is>
      </c>
      <c r="DS45" s="131" t="inlineStr">
        <is>
          <t/>
        </is>
      </c>
      <c r="DT45" s="132" t="inlineStr">
        <is>
          <t/>
        </is>
      </c>
      <c r="DU45" s="133" t="inlineStr">
        <is>
          <t/>
        </is>
      </c>
      <c r="DV45" s="134" t="inlineStr">
        <is>
          <t>827</t>
        </is>
      </c>
      <c r="DW45" s="135" t="inlineStr">
        <is>
          <t>7</t>
        </is>
      </c>
      <c r="DX45" s="136" t="inlineStr">
        <is>
          <t>0,85%</t>
        </is>
      </c>
      <c r="DY45" s="137" t="inlineStr">
        <is>
          <t>PitchBook Research</t>
        </is>
      </c>
      <c r="DZ45" s="785">
        <f>HYPERLINK("https://my.pitchbook.com?c=63910-54", "View company online")</f>
      </c>
    </row>
    <row r="46">
      <c r="A46" s="139" t="inlineStr">
        <is>
          <t>65909-44</t>
        </is>
      </c>
      <c r="B46" s="140" t="inlineStr">
        <is>
          <t>Blockchain</t>
        </is>
      </c>
      <c r="C46" s="141" t="inlineStr">
        <is>
          <t/>
        </is>
      </c>
      <c r="D46" s="142" t="inlineStr">
        <is>
          <t>Blockchain.info</t>
        </is>
      </c>
      <c r="E46" s="143" t="inlineStr">
        <is>
          <t>65909-44</t>
        </is>
      </c>
      <c r="F46" s="144" t="inlineStr">
        <is>
          <t>Provider of a digital assets platform designed to improve financial systems. The company's digital assets platform helps in quick transactions without using costly intermediaries, as well as offer tools for real-time transaction data, enabling consumers to analyze the digital economy.</t>
        </is>
      </c>
      <c r="G46" s="145" t="inlineStr">
        <is>
          <t>Information Technology</t>
        </is>
      </c>
      <c r="H46" s="146" t="inlineStr">
        <is>
          <t>Software</t>
        </is>
      </c>
      <c r="I46" s="147" t="inlineStr">
        <is>
          <t>Financial Software</t>
        </is>
      </c>
      <c r="J46" s="148" t="inlineStr">
        <is>
          <t>Financial Software*; Other Financial Services</t>
        </is>
      </c>
      <c r="K46" s="149" t="inlineStr">
        <is>
          <t>Cryptocurrency/Blockchain, FinTech</t>
        </is>
      </c>
      <c r="L46" s="150" t="inlineStr">
        <is>
          <t>Venture Capital-Backed</t>
        </is>
      </c>
      <c r="M46" s="151" t="n">
        <v>59.72</v>
      </c>
      <c r="N46" s="152" t="inlineStr">
        <is>
          <t>Generating Revenue</t>
        </is>
      </c>
      <c r="O46" s="153" t="inlineStr">
        <is>
          <t>Privately Held (backing)</t>
        </is>
      </c>
      <c r="P46" s="154" t="inlineStr">
        <is>
          <t>Venture Capital</t>
        </is>
      </c>
      <c r="Q46" s="155" t="inlineStr">
        <is>
          <t>www.blockchain.com</t>
        </is>
      </c>
      <c r="R46" s="156" t="n">
        <v>50.0</v>
      </c>
      <c r="S46" s="157" t="inlineStr">
        <is>
          <t/>
        </is>
      </c>
      <c r="T46" s="158" t="inlineStr">
        <is>
          <t/>
        </is>
      </c>
      <c r="U46" s="159" t="n">
        <v>2011.0</v>
      </c>
      <c r="V46" s="160" t="inlineStr">
        <is>
          <t/>
        </is>
      </c>
      <c r="W46" s="161" t="inlineStr">
        <is>
          <r>
            <rPr>
              <b/>
              <color rgb="ff26854d"/>
              <rFont val="Arial"/>
              <sz val="8.0"/>
            </rPr>
            <t>News</t>
          </r>
          <r>
            <rPr>
              <color rgb="ff707070"/>
              <rFont val="Arial"/>
              <sz val="7.0"/>
            </rPr>
            <t xml:space="preserve"> NEW  </t>
          </r>
        </is>
      </c>
      <c r="X46" s="162" t="inlineStr">
        <is>
          <r>
            <rPr>
              <b/>
              <color rgb="ff26854d"/>
              <rFont val="Arial"/>
              <sz val="8.0"/>
            </rPr>
            <t>News</t>
          </r>
          <r>
            <rPr>
              <color rgb="ff707070"/>
              <rFont val="Arial"/>
              <sz val="7.0"/>
            </rPr>
            <t xml:space="preserve"> NEW  </t>
          </r>
        </is>
      </c>
      <c r="Y46" s="163" t="inlineStr">
        <is>
          <t/>
        </is>
      </c>
      <c r="Z46" s="164" t="inlineStr">
        <is>
          <t/>
        </is>
      </c>
      <c r="AA46" s="165" t="inlineStr">
        <is>
          <t/>
        </is>
      </c>
      <c r="AB46" s="166" t="inlineStr">
        <is>
          <t/>
        </is>
      </c>
      <c r="AC46" s="167" t="inlineStr">
        <is>
          <t/>
        </is>
      </c>
      <c r="AD46" s="168" t="inlineStr">
        <is>
          <t>FY 2015</t>
        </is>
      </c>
      <c r="AE46" s="169" t="inlineStr">
        <is>
          <t>75822-94P</t>
        </is>
      </c>
      <c r="AF46" s="170" t="inlineStr">
        <is>
          <t>Nicolas Cary</t>
        </is>
      </c>
      <c r="AG46" s="171" t="inlineStr">
        <is>
          <t>Co-Founder, President and Board Member</t>
        </is>
      </c>
      <c r="AH46" s="172" t="inlineStr">
        <is>
          <t>nicolas@blockchain.com</t>
        </is>
      </c>
      <c r="AI46" s="173" t="inlineStr">
        <is>
          <t/>
        </is>
      </c>
      <c r="AJ46" s="174" t="inlineStr">
        <is>
          <t>Luxembourg</t>
        </is>
      </c>
      <c r="AK46" s="175" t="inlineStr">
        <is>
          <t>Rue Philippe II</t>
        </is>
      </c>
      <c r="AL46" s="176" t="inlineStr">
        <is>
          <t>4eme etage a</t>
        </is>
      </c>
      <c r="AM46" s="177" t="inlineStr">
        <is>
          <t/>
        </is>
      </c>
      <c r="AN46" s="178" t="inlineStr">
        <is>
          <t/>
        </is>
      </c>
      <c r="AO46" s="179" t="inlineStr">
        <is>
          <t>2340</t>
        </is>
      </c>
      <c r="AP46" s="180" t="inlineStr">
        <is>
          <t>Luxembourg</t>
        </is>
      </c>
      <c r="AQ46" s="181" t="inlineStr">
        <is>
          <t/>
        </is>
      </c>
      <c r="AR46" s="182" t="inlineStr">
        <is>
          <t/>
        </is>
      </c>
      <c r="AS46" s="183" t="inlineStr">
        <is>
          <t>hello@blockchain.com</t>
        </is>
      </c>
      <c r="AT46" s="184" t="inlineStr">
        <is>
          <t>Europe</t>
        </is>
      </c>
      <c r="AU46" s="185" t="inlineStr">
        <is>
          <t>Western Europe</t>
        </is>
      </c>
      <c r="AV46" s="186" t="inlineStr">
        <is>
          <t>The company raised $40 million of Series B venture funding in a deal led by Lakestar and GV on June 22, 2017. Nokota Management, Digital Currency Group, Lightspeed Venture Partners, Mosaic Ventures, Prudence Holdings, Richard Branson, Nokota Management and Virgin.com also participated in the round. The funds will be used for global expansion and localization efforts as well as research and development of emerging digital assets.</t>
        </is>
      </c>
      <c r="AW46" s="187" t="inlineStr">
        <is>
          <t>Amitabh Jhawar, Digital Currency Group, Future\Perfect Ventures, GV, Lakestar, Lightspeed Venture Partners, Mosaic Ventures, Nokota Management, Prudence Holdings, Richard Branson, Roger Ver, Virgin.com, Wicklow Capital</t>
        </is>
      </c>
      <c r="AX46" s="188" t="n">
        <v>13.0</v>
      </c>
      <c r="AY46" s="189" t="inlineStr">
        <is>
          <t/>
        </is>
      </c>
      <c r="AZ46" s="190" t="inlineStr">
        <is>
          <t/>
        </is>
      </c>
      <c r="BA46" s="191" t="inlineStr">
        <is>
          <t/>
        </is>
      </c>
      <c r="BB46" s="192" t="inlineStr">
        <is>
          <t>Digital Currency Group (www.dcg.co), Future\Perfect Ventures (www.futureperfectventures.com), GV (www.gv.com), Lakestar (www.lakestar.com), Lightspeed Venture Partners (www.lsvp.com), Mosaic Ventures (www.mosaicventures.com), Prudence Holdings (www.prudenceholdings.com), Roger Ver (www.rogerver.com), Virgin.com (www.virgin.com)</t>
        </is>
      </c>
      <c r="BC46" s="193" t="inlineStr">
        <is>
          <t/>
        </is>
      </c>
      <c r="BD46" s="194" t="inlineStr">
        <is>
          <t/>
        </is>
      </c>
      <c r="BE46" s="195" t="inlineStr">
        <is>
          <t>Latham &amp; Watkins (Legal Advisor), True Capital Partners (Advisor: General)</t>
        </is>
      </c>
      <c r="BF46" s="196" t="inlineStr">
        <is>
          <t>Latham &amp; Watkins (Legal Advisor)</t>
        </is>
      </c>
      <c r="BG46" s="197" t="n">
        <v>41919.0</v>
      </c>
      <c r="BH46" s="198" t="n">
        <v>24.07</v>
      </c>
      <c r="BI46" s="199" t="inlineStr">
        <is>
          <t>Actual</t>
        </is>
      </c>
      <c r="BJ46" s="200" t="inlineStr">
        <is>
          <t/>
        </is>
      </c>
      <c r="BK46" s="201" t="inlineStr">
        <is>
          <t/>
        </is>
      </c>
      <c r="BL46" s="202" t="inlineStr">
        <is>
          <t>Early Stage VC</t>
        </is>
      </c>
      <c r="BM46" s="203" t="inlineStr">
        <is>
          <t>Series A</t>
        </is>
      </c>
      <c r="BN46" s="204" t="inlineStr">
        <is>
          <t/>
        </is>
      </c>
      <c r="BO46" s="205" t="inlineStr">
        <is>
          <t>Venture Capital</t>
        </is>
      </c>
      <c r="BP46" s="206" t="inlineStr">
        <is>
          <t/>
        </is>
      </c>
      <c r="BQ46" s="207" t="inlineStr">
        <is>
          <t/>
        </is>
      </c>
      <c r="BR46" s="208" t="inlineStr">
        <is>
          <t/>
        </is>
      </c>
      <c r="BS46" s="209" t="inlineStr">
        <is>
          <t>Completed</t>
        </is>
      </c>
      <c r="BT46" s="210" t="n">
        <v>42908.0</v>
      </c>
      <c r="BU46" s="211" t="n">
        <v>35.65</v>
      </c>
      <c r="BV46" s="212" t="inlineStr">
        <is>
          <t>Actual</t>
        </is>
      </c>
      <c r="BW46" s="213" t="inlineStr">
        <is>
          <t/>
        </is>
      </c>
      <c r="BX46" s="214" t="inlineStr">
        <is>
          <t/>
        </is>
      </c>
      <c r="BY46" s="215" t="inlineStr">
        <is>
          <t>Later Stage VC</t>
        </is>
      </c>
      <c r="BZ46" s="216" t="inlineStr">
        <is>
          <t>Series B</t>
        </is>
      </c>
      <c r="CA46" s="217" t="inlineStr">
        <is>
          <t/>
        </is>
      </c>
      <c r="CB46" s="218" t="inlineStr">
        <is>
          <t>Venture Capital</t>
        </is>
      </c>
      <c r="CC46" s="219" t="inlineStr">
        <is>
          <t/>
        </is>
      </c>
      <c r="CD46" s="220" t="inlineStr">
        <is>
          <t/>
        </is>
      </c>
      <c r="CE46" s="221" t="inlineStr">
        <is>
          <t/>
        </is>
      </c>
      <c r="CF46" s="222" t="inlineStr">
        <is>
          <t>Completed</t>
        </is>
      </c>
      <c r="CG46" s="223" t="inlineStr">
        <is>
          <t>-0,78%</t>
        </is>
      </c>
      <c r="CH46" s="224" t="inlineStr">
        <is>
          <t>16</t>
        </is>
      </c>
      <c r="CI46" s="225" t="inlineStr">
        <is>
          <t>0,07%</t>
        </is>
      </c>
      <c r="CJ46" s="226" t="inlineStr">
        <is>
          <t>7,71%</t>
        </is>
      </c>
      <c r="CK46" s="227" t="inlineStr">
        <is>
          <t>-5,03%</t>
        </is>
      </c>
      <c r="CL46" s="228" t="inlineStr">
        <is>
          <t>8</t>
        </is>
      </c>
      <c r="CM46" s="229" t="inlineStr">
        <is>
          <t>2,43%</t>
        </is>
      </c>
      <c r="CN46" s="230" t="inlineStr">
        <is>
          <t>99</t>
        </is>
      </c>
      <c r="CO46" s="231" t="inlineStr">
        <is>
          <t>-12,41%</t>
        </is>
      </c>
      <c r="CP46" s="232" t="inlineStr">
        <is>
          <t>10</t>
        </is>
      </c>
      <c r="CQ46" s="233" t="inlineStr">
        <is>
          <t>2,36%</t>
        </is>
      </c>
      <c r="CR46" s="234" t="inlineStr">
        <is>
          <t>96</t>
        </is>
      </c>
      <c r="CS46" s="235" t="inlineStr">
        <is>
          <t>2,32%</t>
        </is>
      </c>
      <c r="CT46" s="236" t="inlineStr">
        <is>
          <t>98</t>
        </is>
      </c>
      <c r="CU46" s="237" t="inlineStr">
        <is>
          <t>2,55%</t>
        </is>
      </c>
      <c r="CV46" s="238" t="inlineStr">
        <is>
          <t>99</t>
        </is>
      </c>
      <c r="CW46" s="239" t="inlineStr">
        <is>
          <t>236,88x</t>
        </is>
      </c>
      <c r="CX46" s="240" t="inlineStr">
        <is>
          <t>99</t>
        </is>
      </c>
      <c r="CY46" s="241" t="inlineStr">
        <is>
          <t>3,51x</t>
        </is>
      </c>
      <c r="CZ46" s="242" t="inlineStr">
        <is>
          <t>1,50%</t>
        </is>
      </c>
      <c r="DA46" s="243" t="inlineStr">
        <is>
          <t>218,40x</t>
        </is>
      </c>
      <c r="DB46" s="244" t="inlineStr">
        <is>
          <t>100</t>
        </is>
      </c>
      <c r="DC46" s="245" t="inlineStr">
        <is>
          <t>492,08x</t>
        </is>
      </c>
      <c r="DD46" s="246" t="inlineStr">
        <is>
          <t>99</t>
        </is>
      </c>
      <c r="DE46" s="247" t="inlineStr">
        <is>
          <t>377,25x</t>
        </is>
      </c>
      <c r="DF46" s="248" t="inlineStr">
        <is>
          <t>100</t>
        </is>
      </c>
      <c r="DG46" s="249" t="inlineStr">
        <is>
          <t>59,56x</t>
        </is>
      </c>
      <c r="DH46" s="250" t="inlineStr">
        <is>
          <t>98</t>
        </is>
      </c>
      <c r="DI46" s="251" t="inlineStr">
        <is>
          <t>115,40x</t>
        </is>
      </c>
      <c r="DJ46" s="252" t="inlineStr">
        <is>
          <t>95</t>
        </is>
      </c>
      <c r="DK46" s="253" t="inlineStr">
        <is>
          <t>868,75x</t>
        </is>
      </c>
      <c r="DL46" s="254" t="inlineStr">
        <is>
          <t>100</t>
        </is>
      </c>
      <c r="DM46" s="255" t="inlineStr">
        <is>
          <t>138.153</t>
        </is>
      </c>
      <c r="DN46" s="256" t="inlineStr">
        <is>
          <t>9.023</t>
        </is>
      </c>
      <c r="DO46" s="257" t="inlineStr">
        <is>
          <t>6,99%</t>
        </is>
      </c>
      <c r="DP46" s="258" t="inlineStr">
        <is>
          <t>90.546</t>
        </is>
      </c>
      <c r="DQ46" s="259" t="inlineStr">
        <is>
          <t>2.140</t>
        </is>
      </c>
      <c r="DR46" s="260" t="inlineStr">
        <is>
          <t>2,42%</t>
        </is>
      </c>
      <c r="DS46" s="261" t="inlineStr">
        <is>
          <t>2.129</t>
        </is>
      </c>
      <c r="DT46" s="262" t="inlineStr">
        <is>
          <t>39</t>
        </is>
      </c>
      <c r="DU46" s="263" t="inlineStr">
        <is>
          <t>1,87%</t>
        </is>
      </c>
      <c r="DV46" s="264" t="inlineStr">
        <is>
          <t>320.828</t>
        </is>
      </c>
      <c r="DW46" s="265" t="inlineStr">
        <is>
          <t>10.410</t>
        </is>
      </c>
      <c r="DX46" s="266" t="inlineStr">
        <is>
          <t>3,35%</t>
        </is>
      </c>
      <c r="DY46" s="267" t="inlineStr">
        <is>
          <t>PitchBook Research</t>
        </is>
      </c>
      <c r="DZ46" s="786">
        <f>HYPERLINK("https://my.pitchbook.com?c=65909-44", "View company online")</f>
      </c>
    </row>
    <row r="47">
      <c r="A47" s="9" t="inlineStr">
        <is>
          <t>54291-34</t>
        </is>
      </c>
      <c r="B47" s="10" t="inlineStr">
        <is>
          <t>MariaDB</t>
        </is>
      </c>
      <c r="C47" s="11" t="inlineStr">
        <is>
          <t>SkySQL</t>
        </is>
      </c>
      <c r="D47" s="12" t="inlineStr">
        <is>
          <t/>
        </is>
      </c>
      <c r="E47" s="13" t="inlineStr">
        <is>
          <t>54291-34</t>
        </is>
      </c>
      <c r="F47" s="14" t="inlineStr">
        <is>
          <t>Developer of cloud-based open source database designed for information technology infrastructure needs of enterprises. The company's cloud-based open source database includes on-premises applications that support today's enterprise needs from OLTP to analytics from a single SQL compliant interface, deploying enterprise database management system and services on premise or in the cloud.</t>
        </is>
      </c>
      <c r="G47" s="15" t="inlineStr">
        <is>
          <t>Information Technology</t>
        </is>
      </c>
      <c r="H47" s="16" t="inlineStr">
        <is>
          <t>Software</t>
        </is>
      </c>
      <c r="I47" s="17" t="inlineStr">
        <is>
          <t>Database Software</t>
        </is>
      </c>
      <c r="J47" s="18" t="inlineStr">
        <is>
          <t>Database Software*</t>
        </is>
      </c>
      <c r="K47" s="19" t="inlineStr">
        <is>
          <t>Big Data, SaaS</t>
        </is>
      </c>
      <c r="L47" s="20" t="inlineStr">
        <is>
          <t>Venture Capital-Backed</t>
        </is>
      </c>
      <c r="M47" s="21" t="n">
        <v>58.41</v>
      </c>
      <c r="N47" s="22" t="inlineStr">
        <is>
          <t>Generating Revenue</t>
        </is>
      </c>
      <c r="O47" s="23" t="inlineStr">
        <is>
          <t>Privately Held (backing)</t>
        </is>
      </c>
      <c r="P47" s="24" t="inlineStr">
        <is>
          <t>Venture Capital</t>
        </is>
      </c>
      <c r="Q47" s="25" t="inlineStr">
        <is>
          <t>www.mariadb.com</t>
        </is>
      </c>
      <c r="R47" s="26" t="n">
        <v>94.0</v>
      </c>
      <c r="S47" s="27" t="inlineStr">
        <is>
          <t/>
        </is>
      </c>
      <c r="T47" s="28" t="inlineStr">
        <is>
          <t/>
        </is>
      </c>
      <c r="U47" s="29" t="n">
        <v>2009.0</v>
      </c>
      <c r="V47" s="30" t="inlineStr">
        <is>
          <t/>
        </is>
      </c>
      <c r="W47" s="31" t="inlineStr">
        <is>
          <t/>
        </is>
      </c>
      <c r="X47" s="32" t="inlineStr">
        <is>
          <t/>
        </is>
      </c>
      <c r="Y47" s="33" t="n">
        <v>3.42638</v>
      </c>
      <c r="Z47" s="34" t="inlineStr">
        <is>
          <t/>
        </is>
      </c>
      <c r="AA47" s="35" t="n">
        <v>-2.8479</v>
      </c>
      <c r="AB47" s="36" t="inlineStr">
        <is>
          <t/>
        </is>
      </c>
      <c r="AC47" s="37" t="inlineStr">
        <is>
          <t/>
        </is>
      </c>
      <c r="AD47" s="38" t="inlineStr">
        <is>
          <t>FY 2015</t>
        </is>
      </c>
      <c r="AE47" s="39" t="inlineStr">
        <is>
          <t>55073-17P</t>
        </is>
      </c>
      <c r="AF47" s="40" t="inlineStr">
        <is>
          <t>Kenneth Paqvalen</t>
        </is>
      </c>
      <c r="AG47" s="41" t="inlineStr">
        <is>
          <t>Chief Financial Officer</t>
        </is>
      </c>
      <c r="AH47" s="42" t="inlineStr">
        <is>
          <t>kenneth.paqvalen@skysql.com</t>
        </is>
      </c>
      <c r="AI47" s="43" t="inlineStr">
        <is>
          <t>+358 (0)18 773 0357 99</t>
        </is>
      </c>
      <c r="AJ47" s="44" t="inlineStr">
        <is>
          <t>Espoo, Finland</t>
        </is>
      </c>
      <c r="AK47" s="45" t="inlineStr">
        <is>
          <t>Tekniikantie 12</t>
        </is>
      </c>
      <c r="AL47" s="46" t="inlineStr">
        <is>
          <t/>
        </is>
      </c>
      <c r="AM47" s="47" t="inlineStr">
        <is>
          <t>Espoo</t>
        </is>
      </c>
      <c r="AN47" s="48" t="inlineStr">
        <is>
          <t/>
        </is>
      </c>
      <c r="AO47" s="49" t="inlineStr">
        <is>
          <t>02150</t>
        </is>
      </c>
      <c r="AP47" s="50" t="inlineStr">
        <is>
          <t>Finland</t>
        </is>
      </c>
      <c r="AQ47" s="51" t="inlineStr">
        <is>
          <t>+358 (0)18 773 0357 99</t>
        </is>
      </c>
      <c r="AR47" s="52" t="inlineStr">
        <is>
          <t/>
        </is>
      </c>
      <c r="AS47" s="53" t="inlineStr">
        <is>
          <t/>
        </is>
      </c>
      <c r="AT47" s="54" t="inlineStr">
        <is>
          <t>Europe</t>
        </is>
      </c>
      <c r="AU47" s="55" t="inlineStr">
        <is>
          <t>Northern Europe</t>
        </is>
      </c>
      <c r="AV47" s="56" t="inlineStr">
        <is>
          <t>The company raised $27 million of Series C venture funding in a deal led by Alibaba Group on November 1, 2017, putting the pre-money valuation at $327 million. Intel Capital, California Technology Ventures, Tesi, SmartFin Capital and Open Ocean also participated in the round. The funds will be used to further accelerate growth, while delivering new solutions for the cloud and automation through machine learning. Previously, the company raised $54 million of venture funding through a combination of debt and equity from European Investment Bank on May 8, 2017, putting the pre-money valuation at $198 million.</t>
        </is>
      </c>
      <c r="AW47" s="57" t="inlineStr">
        <is>
          <t>Alibaba Group, Ari Korhonen, California Technology Ventures, European Investment Bank, Finnish Industry Investment, Intel Capital, Kreos Capital, Lagoon Capital, OnCorps, Runa Capital, Spintop Ventures</t>
        </is>
      </c>
      <c r="AX47" s="58" t="n">
        <v>11.0</v>
      </c>
      <c r="AY47" s="59" t="inlineStr">
        <is>
          <t/>
        </is>
      </c>
      <c r="AZ47" s="60" t="inlineStr">
        <is>
          <t>Open Ocean Partners, SmartFin Capital</t>
        </is>
      </c>
      <c r="BA47" s="61" t="inlineStr">
        <is>
          <t/>
        </is>
      </c>
      <c r="BB47" s="62" t="inlineStr">
        <is>
          <t>Alibaba Group (www.alibabagroup.com), California Technology Ventures (www.ctventures.com), European Investment Bank (www.eib.org), Finnish Industry Investment (www.industryinvestment.com), Intel Capital (www.intelcapital.com), Kreos Capital (www.kreoscapital.com), Lagoon Capital (www.lagooncapital.com), OnCorps (www.oncorps.io), Runa Capital (www.runacap.com), Spintop Ventures (www.spintopventures.com)</t>
        </is>
      </c>
      <c r="BC47" s="63" t="inlineStr">
        <is>
          <t>Open Ocean Partners (www.openocean.vc), SmartFin Capital (www.smartfincapital.com)</t>
        </is>
      </c>
      <c r="BD47" s="64" t="inlineStr">
        <is>
          <t/>
        </is>
      </c>
      <c r="BE47" s="65" t="inlineStr">
        <is>
          <t/>
        </is>
      </c>
      <c r="BF47" s="66" t="inlineStr">
        <is>
          <t>Kreos Capital (Debt Financing)</t>
        </is>
      </c>
      <c r="BG47" s="67" t="n">
        <v>40448.0</v>
      </c>
      <c r="BH47" s="68" t="n">
        <v>1.54</v>
      </c>
      <c r="BI47" s="69" t="inlineStr">
        <is>
          <t>Actual</t>
        </is>
      </c>
      <c r="BJ47" s="70" t="inlineStr">
        <is>
          <t/>
        </is>
      </c>
      <c r="BK47" s="71" t="inlineStr">
        <is>
          <t/>
        </is>
      </c>
      <c r="BL47" s="72" t="inlineStr">
        <is>
          <t>Seed Round</t>
        </is>
      </c>
      <c r="BM47" s="73" t="inlineStr">
        <is>
          <t>Seed</t>
        </is>
      </c>
      <c r="BN47" s="74" t="inlineStr">
        <is>
          <t/>
        </is>
      </c>
      <c r="BO47" s="75" t="inlineStr">
        <is>
          <t>Individual</t>
        </is>
      </c>
      <c r="BP47" s="76" t="inlineStr">
        <is>
          <t/>
        </is>
      </c>
      <c r="BQ47" s="77" t="inlineStr">
        <is>
          <t/>
        </is>
      </c>
      <c r="BR47" s="78" t="inlineStr">
        <is>
          <t/>
        </is>
      </c>
      <c r="BS47" s="79" t="inlineStr">
        <is>
          <t>Completed</t>
        </is>
      </c>
      <c r="BT47" s="80" t="n">
        <v>43040.0</v>
      </c>
      <c r="BU47" s="81" t="n">
        <v>22.96</v>
      </c>
      <c r="BV47" s="82" t="inlineStr">
        <is>
          <t>Actual</t>
        </is>
      </c>
      <c r="BW47" s="83" t="n">
        <v>301.06</v>
      </c>
      <c r="BX47" s="84" t="inlineStr">
        <is>
          <t>Actual</t>
        </is>
      </c>
      <c r="BY47" s="85" t="inlineStr">
        <is>
          <t>Later Stage VC</t>
        </is>
      </c>
      <c r="BZ47" s="86" t="inlineStr">
        <is>
          <t>Series C</t>
        </is>
      </c>
      <c r="CA47" s="87" t="inlineStr">
        <is>
          <t/>
        </is>
      </c>
      <c r="CB47" s="88" t="inlineStr">
        <is>
          <t>Venture Capital</t>
        </is>
      </c>
      <c r="CC47" s="89" t="inlineStr">
        <is>
          <t/>
        </is>
      </c>
      <c r="CD47" s="90" t="inlineStr">
        <is>
          <t/>
        </is>
      </c>
      <c r="CE47" s="91" t="inlineStr">
        <is>
          <t/>
        </is>
      </c>
      <c r="CF47" s="92" t="inlineStr">
        <is>
          <t>Completed</t>
        </is>
      </c>
      <c r="CG47" s="93" t="inlineStr">
        <is>
          <t>-2,46%</t>
        </is>
      </c>
      <c r="CH47" s="94" t="inlineStr">
        <is>
          <t>8</t>
        </is>
      </c>
      <c r="CI47" s="95" t="inlineStr">
        <is>
          <t>0,21%</t>
        </is>
      </c>
      <c r="CJ47" s="96" t="inlineStr">
        <is>
          <t>7,83%</t>
        </is>
      </c>
      <c r="CK47" s="97" t="inlineStr">
        <is>
          <t>-5,59%</t>
        </is>
      </c>
      <c r="CL47" s="98" t="inlineStr">
        <is>
          <t>7</t>
        </is>
      </c>
      <c r="CM47" s="99" t="inlineStr">
        <is>
          <t>0,66%</t>
        </is>
      </c>
      <c r="CN47" s="100" t="inlineStr">
        <is>
          <t>92</t>
        </is>
      </c>
      <c r="CO47" s="101" t="inlineStr">
        <is>
          <t>-17,39%</t>
        </is>
      </c>
      <c r="CP47" s="102" t="inlineStr">
        <is>
          <t>7</t>
        </is>
      </c>
      <c r="CQ47" s="103" t="inlineStr">
        <is>
          <t>6,20%</t>
        </is>
      </c>
      <c r="CR47" s="104" t="inlineStr">
        <is>
          <t>99</t>
        </is>
      </c>
      <c r="CS47" s="105" t="inlineStr">
        <is>
          <t>0,15%</t>
        </is>
      </c>
      <c r="CT47" s="106" t="inlineStr">
        <is>
          <t>64</t>
        </is>
      </c>
      <c r="CU47" s="107" t="inlineStr">
        <is>
          <t>1,17%</t>
        </is>
      </c>
      <c r="CV47" s="108" t="inlineStr">
        <is>
          <t>97</t>
        </is>
      </c>
      <c r="CW47" s="109" t="inlineStr">
        <is>
          <t>78,99x</t>
        </is>
      </c>
      <c r="CX47" s="110" t="inlineStr">
        <is>
          <t>98</t>
        </is>
      </c>
      <c r="CY47" s="111" t="inlineStr">
        <is>
          <t>0,02x</t>
        </is>
      </c>
      <c r="CZ47" s="112" t="inlineStr">
        <is>
          <t>0,02%</t>
        </is>
      </c>
      <c r="DA47" s="113" t="inlineStr">
        <is>
          <t>96,38x</t>
        </is>
      </c>
      <c r="DB47" s="114" t="inlineStr">
        <is>
          <t>99</t>
        </is>
      </c>
      <c r="DC47" s="115" t="inlineStr">
        <is>
          <t>61,59x</t>
        </is>
      </c>
      <c r="DD47" s="116" t="inlineStr">
        <is>
          <t>95</t>
        </is>
      </c>
      <c r="DE47" s="117" t="inlineStr">
        <is>
          <t>183,55x</t>
        </is>
      </c>
      <c r="DF47" s="118" t="inlineStr">
        <is>
          <t>99</t>
        </is>
      </c>
      <c r="DG47" s="119" t="inlineStr">
        <is>
          <t>9,22x</t>
        </is>
      </c>
      <c r="DH47" s="120" t="inlineStr">
        <is>
          <t>86</t>
        </is>
      </c>
      <c r="DI47" s="121" t="inlineStr">
        <is>
          <t>43,53x</t>
        </is>
      </c>
      <c r="DJ47" s="122" t="inlineStr">
        <is>
          <t>92</t>
        </is>
      </c>
      <c r="DK47" s="123" t="inlineStr">
        <is>
          <t>79,64x</t>
        </is>
      </c>
      <c r="DL47" s="124" t="inlineStr">
        <is>
          <t>98</t>
        </is>
      </c>
      <c r="DM47" s="125" t="inlineStr">
        <is>
          <t>68.036</t>
        </is>
      </c>
      <c r="DN47" s="126" t="inlineStr">
        <is>
          <t>301</t>
        </is>
      </c>
      <c r="DO47" s="127" t="inlineStr">
        <is>
          <t>0,44%</t>
        </is>
      </c>
      <c r="DP47" s="128" t="inlineStr">
        <is>
          <t>34.445</t>
        </is>
      </c>
      <c r="DQ47" s="129" t="inlineStr">
        <is>
          <t>32</t>
        </is>
      </c>
      <c r="DR47" s="130" t="inlineStr">
        <is>
          <t>0,09%</t>
        </is>
      </c>
      <c r="DS47" s="131" t="inlineStr">
        <is>
          <t>322</t>
        </is>
      </c>
      <c r="DT47" s="132" t="inlineStr">
        <is>
          <t>19</t>
        </is>
      </c>
      <c r="DU47" s="133" t="inlineStr">
        <is>
          <t>6,27%</t>
        </is>
      </c>
      <c r="DV47" s="134" t="inlineStr">
        <is>
          <t>29.704</t>
        </is>
      </c>
      <c r="DW47" s="135" t="inlineStr">
        <is>
          <t>319</t>
        </is>
      </c>
      <c r="DX47" s="136" t="inlineStr">
        <is>
          <t>1,09%</t>
        </is>
      </c>
      <c r="DY47" s="137" t="inlineStr">
        <is>
          <t>PitchBook Research</t>
        </is>
      </c>
      <c r="DZ47" s="785">
        <f>HYPERLINK("https://my.pitchbook.com?c=54291-34", "View company online")</f>
      </c>
    </row>
    <row r="48">
      <c r="A48" s="139" t="inlineStr">
        <is>
          <t>86678-11</t>
        </is>
      </c>
      <c r="B48" s="140" t="inlineStr">
        <is>
          <t>LoveCrafts</t>
        </is>
      </c>
      <c r="C48" s="141" t="inlineStr">
        <is>
          <t>Broadmargins</t>
        </is>
      </c>
      <c r="D48" s="142" t="inlineStr">
        <is>
          <t/>
        </is>
      </c>
      <c r="E48" s="143" t="inlineStr">
        <is>
          <t>86678-11</t>
        </is>
      </c>
      <c r="F48" s="144" t="inlineStr">
        <is>
          <t>Operator of a crafting community and marketplace designed to purchase and sell craft works and craft material. The company's social marketplace provides a home for crafting communities online, combining a global social community with a digital marketplace as well as e-commerce sites LoveKnitting.com and LoveCrochet.com, enabling craft makers to connect and share their craftworks.</t>
        </is>
      </c>
      <c r="G48" s="145" t="inlineStr">
        <is>
          <t>Information Technology</t>
        </is>
      </c>
      <c r="H48" s="146" t="inlineStr">
        <is>
          <t>Software</t>
        </is>
      </c>
      <c r="I48" s="147" t="inlineStr">
        <is>
          <t>Application Software</t>
        </is>
      </c>
      <c r="J48" s="148" t="inlineStr">
        <is>
          <t>Application Software*; Specialty Retail; Business/Productivity Software</t>
        </is>
      </c>
      <c r="K48" s="149" t="inlineStr">
        <is>
          <t>E-Commerce</t>
        </is>
      </c>
      <c r="L48" s="150" t="inlineStr">
        <is>
          <t>Venture Capital-Backed</t>
        </is>
      </c>
      <c r="M48" s="151" t="n">
        <v>58.19</v>
      </c>
      <c r="N48" s="152" t="inlineStr">
        <is>
          <t>Generating Revenue</t>
        </is>
      </c>
      <c r="O48" s="153" t="inlineStr">
        <is>
          <t>Privately Held (backing)</t>
        </is>
      </c>
      <c r="P48" s="154" t="inlineStr">
        <is>
          <t>Venture Capital</t>
        </is>
      </c>
      <c r="Q48" s="155" t="inlineStr">
        <is>
          <t>www.lovecrafts.com</t>
        </is>
      </c>
      <c r="R48" s="156" t="n">
        <v>150.0</v>
      </c>
      <c r="S48" s="157" t="inlineStr">
        <is>
          <t/>
        </is>
      </c>
      <c r="T48" s="158" t="inlineStr">
        <is>
          <t/>
        </is>
      </c>
      <c r="U48" s="159" t="n">
        <v>2012.0</v>
      </c>
      <c r="V48" s="160" t="inlineStr">
        <is>
          <t/>
        </is>
      </c>
      <c r="W48" s="161" t="inlineStr">
        <is>
          <t/>
        </is>
      </c>
      <c r="X48" s="162" t="inlineStr">
        <is>
          <t/>
        </is>
      </c>
      <c r="Y48" s="163" t="n">
        <v>7.15691</v>
      </c>
      <c r="Z48" s="164" t="inlineStr">
        <is>
          <t/>
        </is>
      </c>
      <c r="AA48" s="165" t="inlineStr">
        <is>
          <t/>
        </is>
      </c>
      <c r="AB48" s="166" t="inlineStr">
        <is>
          <t/>
        </is>
      </c>
      <c r="AC48" s="167" t="inlineStr">
        <is>
          <t/>
        </is>
      </c>
      <c r="AD48" s="168" t="inlineStr">
        <is>
          <t>FY 2015</t>
        </is>
      </c>
      <c r="AE48" s="169" t="inlineStr">
        <is>
          <t>92384-92P</t>
        </is>
      </c>
      <c r="AF48" s="170" t="inlineStr">
        <is>
          <t>Edward Griffith</t>
        </is>
      </c>
      <c r="AG48" s="171" t="inlineStr">
        <is>
          <t>Co-Founder &amp; Chief Executive Officer</t>
        </is>
      </c>
      <c r="AH48" s="172" t="inlineStr">
        <is>
          <t>edward.griffith@lovecrafts.com</t>
        </is>
      </c>
      <c r="AI48" s="173" t="inlineStr">
        <is>
          <t/>
        </is>
      </c>
      <c r="AJ48" s="174" t="inlineStr">
        <is>
          <t>London, United Kingdom</t>
        </is>
      </c>
      <c r="AK48" s="175" t="inlineStr">
        <is>
          <t>7th Floor</t>
        </is>
      </c>
      <c r="AL48" s="176" t="inlineStr">
        <is>
          <t>10 Bloomsbury Way</t>
        </is>
      </c>
      <c r="AM48" s="177" t="inlineStr">
        <is>
          <t>London</t>
        </is>
      </c>
      <c r="AN48" s="178" t="inlineStr">
        <is>
          <t>England</t>
        </is>
      </c>
      <c r="AO48" s="179" t="inlineStr">
        <is>
          <t>WC1A 2SL</t>
        </is>
      </c>
      <c r="AP48" s="180" t="inlineStr">
        <is>
          <t>United Kingdom</t>
        </is>
      </c>
      <c r="AQ48" s="181" t="inlineStr">
        <is>
          <t/>
        </is>
      </c>
      <c r="AR48" s="182" t="inlineStr">
        <is>
          <t/>
        </is>
      </c>
      <c r="AS48" s="183" t="inlineStr">
        <is>
          <t/>
        </is>
      </c>
      <c r="AT48" s="184" t="inlineStr">
        <is>
          <t>Europe</t>
        </is>
      </c>
      <c r="AU48" s="185" t="inlineStr">
        <is>
          <t>Western Europe</t>
        </is>
      </c>
      <c r="AV48" s="186" t="inlineStr">
        <is>
          <t>The company raised $33 million of Series C venture funding from lead investor Scottish Equity Partners (SEP) on April 25, 2017. Balderton Capital and Highland Capital Partners Europe also participated. The company will use the funding to further scale operations and improve its technology as well as launch further crafting sites and expand its business internationally. The company has raised $55 million in funding till date.</t>
        </is>
      </c>
      <c r="AW48" s="187" t="inlineStr">
        <is>
          <t>Balderton Capital, Highland Capital Partners Europe, Scottish Equity Partners, True Capital, Venrex Investment Management</t>
        </is>
      </c>
      <c r="AX48" s="188" t="n">
        <v>5.0</v>
      </c>
      <c r="AY48" s="189" t="inlineStr">
        <is>
          <t/>
        </is>
      </c>
      <c r="AZ48" s="190" t="inlineStr">
        <is>
          <t/>
        </is>
      </c>
      <c r="BA48" s="191" t="inlineStr">
        <is>
          <t/>
        </is>
      </c>
      <c r="BB48" s="192" t="inlineStr">
        <is>
          <t>Balderton Capital (www.balderton.com), Highland Capital Partners Europe (www.highlandeurope.com), Scottish Equity Partners (www.sep.co.uk), True Capital (www.truecapital.co.uk)</t>
        </is>
      </c>
      <c r="BC48" s="193" t="inlineStr">
        <is>
          <t/>
        </is>
      </c>
      <c r="BD48" s="194" t="inlineStr">
        <is>
          <t/>
        </is>
      </c>
      <c r="BE48" s="195" t="inlineStr">
        <is>
          <t>Future Fifty (Consulting)</t>
        </is>
      </c>
      <c r="BF48" s="196" t="inlineStr">
        <is>
          <t/>
        </is>
      </c>
      <c r="BG48" s="197" t="inlineStr">
        <is>
          <t/>
        </is>
      </c>
      <c r="BH48" s="198" t="n">
        <v>2.13</v>
      </c>
      <c r="BI48" s="199" t="inlineStr">
        <is>
          <t>Estimated</t>
        </is>
      </c>
      <c r="BJ48" s="200" t="inlineStr">
        <is>
          <t/>
        </is>
      </c>
      <c r="BK48" s="201" t="inlineStr">
        <is>
          <t/>
        </is>
      </c>
      <c r="BL48" s="202" t="inlineStr">
        <is>
          <t>Seed Round</t>
        </is>
      </c>
      <c r="BM48" s="203" t="inlineStr">
        <is>
          <t>Seed</t>
        </is>
      </c>
      <c r="BN48" s="204" t="inlineStr">
        <is>
          <t/>
        </is>
      </c>
      <c r="BO48" s="205" t="inlineStr">
        <is>
          <t>Venture Capital</t>
        </is>
      </c>
      <c r="BP48" s="206" t="inlineStr">
        <is>
          <t/>
        </is>
      </c>
      <c r="BQ48" s="207" t="inlineStr">
        <is>
          <t/>
        </is>
      </c>
      <c r="BR48" s="208" t="inlineStr">
        <is>
          <t/>
        </is>
      </c>
      <c r="BS48" s="209" t="inlineStr">
        <is>
          <t>Completed</t>
        </is>
      </c>
      <c r="BT48" s="210" t="n">
        <v>42850.0</v>
      </c>
      <c r="BU48" s="211" t="n">
        <v>30.84</v>
      </c>
      <c r="BV48" s="212" t="inlineStr">
        <is>
          <t>Actual</t>
        </is>
      </c>
      <c r="BW48" s="213" t="inlineStr">
        <is>
          <t/>
        </is>
      </c>
      <c r="BX48" s="214" t="inlineStr">
        <is>
          <t/>
        </is>
      </c>
      <c r="BY48" s="215" t="inlineStr">
        <is>
          <t>Later Stage VC</t>
        </is>
      </c>
      <c r="BZ48" s="216" t="inlineStr">
        <is>
          <t>Series C</t>
        </is>
      </c>
      <c r="CA48" s="217" t="inlineStr">
        <is>
          <t/>
        </is>
      </c>
      <c r="CB48" s="218" t="inlineStr">
        <is>
          <t>Venture Capital</t>
        </is>
      </c>
      <c r="CC48" s="219" t="inlineStr">
        <is>
          <t/>
        </is>
      </c>
      <c r="CD48" s="220" t="inlineStr">
        <is>
          <t/>
        </is>
      </c>
      <c r="CE48" s="221" t="inlineStr">
        <is>
          <t/>
        </is>
      </c>
      <c r="CF48" s="222" t="inlineStr">
        <is>
          <t>Completed</t>
        </is>
      </c>
      <c r="CG48" s="223" t="inlineStr">
        <is>
          <t>-1,98%</t>
        </is>
      </c>
      <c r="CH48" s="224" t="inlineStr">
        <is>
          <t>9</t>
        </is>
      </c>
      <c r="CI48" s="225" t="inlineStr">
        <is>
          <t>-0,01%</t>
        </is>
      </c>
      <c r="CJ48" s="226" t="inlineStr">
        <is>
          <t>-0,75%</t>
        </is>
      </c>
      <c r="CK48" s="227" t="inlineStr">
        <is>
          <t>-4,23%</t>
        </is>
      </c>
      <c r="CL48" s="228" t="inlineStr">
        <is>
          <t>9</t>
        </is>
      </c>
      <c r="CM48" s="229" t="inlineStr">
        <is>
          <t>0,27%</t>
        </is>
      </c>
      <c r="CN48" s="230" t="inlineStr">
        <is>
          <t>78</t>
        </is>
      </c>
      <c r="CO48" s="231" t="inlineStr">
        <is>
          <t>-7,05%</t>
        </is>
      </c>
      <c r="CP48" s="232" t="inlineStr">
        <is>
          <t>17</t>
        </is>
      </c>
      <c r="CQ48" s="233" t="inlineStr">
        <is>
          <t>-1,41%</t>
        </is>
      </c>
      <c r="CR48" s="234" t="inlineStr">
        <is>
          <t>6</t>
        </is>
      </c>
      <c r="CS48" s="235" t="inlineStr">
        <is>
          <t>0,22%</t>
        </is>
      </c>
      <c r="CT48" s="236" t="inlineStr">
        <is>
          <t>71</t>
        </is>
      </c>
      <c r="CU48" s="237" t="inlineStr">
        <is>
          <t>0,32%</t>
        </is>
      </c>
      <c r="CV48" s="238" t="inlineStr">
        <is>
          <t>84</t>
        </is>
      </c>
      <c r="CW48" s="239" t="inlineStr">
        <is>
          <t>119,94x</t>
        </is>
      </c>
      <c r="CX48" s="240" t="inlineStr">
        <is>
          <t>99</t>
        </is>
      </c>
      <c r="CY48" s="241" t="inlineStr">
        <is>
          <t>-0,52x</t>
        </is>
      </c>
      <c r="CZ48" s="242" t="inlineStr">
        <is>
          <t>-0,43%</t>
        </is>
      </c>
      <c r="DA48" s="243" t="inlineStr">
        <is>
          <t>2,55x</t>
        </is>
      </c>
      <c r="DB48" s="244" t="inlineStr">
        <is>
          <t>71</t>
        </is>
      </c>
      <c r="DC48" s="245" t="inlineStr">
        <is>
          <t>237,33x</t>
        </is>
      </c>
      <c r="DD48" s="246" t="inlineStr">
        <is>
          <t>98</t>
        </is>
      </c>
      <c r="DE48" s="247" t="inlineStr">
        <is>
          <t>0,52x</t>
        </is>
      </c>
      <c r="DF48" s="248" t="inlineStr">
        <is>
          <t>34</t>
        </is>
      </c>
      <c r="DG48" s="249" t="inlineStr">
        <is>
          <t>4,58x</t>
        </is>
      </c>
      <c r="DH48" s="250" t="inlineStr">
        <is>
          <t>78</t>
        </is>
      </c>
      <c r="DI48" s="251" t="inlineStr">
        <is>
          <t>433,52x</t>
        </is>
      </c>
      <c r="DJ48" s="252" t="inlineStr">
        <is>
          <t>98</t>
        </is>
      </c>
      <c r="DK48" s="253" t="inlineStr">
        <is>
          <t>41,14x</t>
        </is>
      </c>
      <c r="DL48" s="254" t="inlineStr">
        <is>
          <t>96</t>
        </is>
      </c>
      <c r="DM48" s="255" t="inlineStr">
        <is>
          <t>188</t>
        </is>
      </c>
      <c r="DN48" s="256" t="inlineStr">
        <is>
          <t>20</t>
        </is>
      </c>
      <c r="DO48" s="257" t="inlineStr">
        <is>
          <t>11,90%</t>
        </is>
      </c>
      <c r="DP48" s="258" t="inlineStr">
        <is>
          <t>343.082</t>
        </is>
      </c>
      <c r="DQ48" s="259" t="inlineStr">
        <is>
          <t>1.427</t>
        </is>
      </c>
      <c r="DR48" s="260" t="inlineStr">
        <is>
          <t>0,42%</t>
        </is>
      </c>
      <c r="DS48" s="261" t="inlineStr">
        <is>
          <t>166</t>
        </is>
      </c>
      <c r="DT48" s="262" t="inlineStr">
        <is>
          <t>-2</t>
        </is>
      </c>
      <c r="DU48" s="263" t="inlineStr">
        <is>
          <t>-1,19%</t>
        </is>
      </c>
      <c r="DV48" s="264" t="inlineStr">
        <is>
          <t>15.369</t>
        </is>
      </c>
      <c r="DW48" s="265" t="inlineStr">
        <is>
          <t>41</t>
        </is>
      </c>
      <c r="DX48" s="266" t="inlineStr">
        <is>
          <t>0,27%</t>
        </is>
      </c>
      <c r="DY48" s="267" t="inlineStr">
        <is>
          <t>PitchBook Research</t>
        </is>
      </c>
      <c r="DZ48" s="786">
        <f>HYPERLINK("https://my.pitchbook.com?c=86678-11", "View company online")</f>
      </c>
    </row>
    <row r="49">
      <c r="A49" s="9" t="inlineStr">
        <is>
          <t>93057-85</t>
        </is>
      </c>
      <c r="B49" s="10" t="inlineStr">
        <is>
          <t>Receipt Bank</t>
        </is>
      </c>
      <c r="C49" s="11" t="inlineStr">
        <is>
          <t/>
        </is>
      </c>
      <c r="D49" s="12" t="inlineStr">
        <is>
          <t/>
        </is>
      </c>
      <c r="E49" s="13" t="inlineStr">
        <is>
          <t>93057-85</t>
        </is>
      </c>
      <c r="F49" s="14" t="inlineStr">
        <is>
          <t>Developer of bookkeeping automation software. The company's software provides technology that extracts information from client submitted documents, automatically sorts and categorizes receipt and invoice data, and publishes items straight to the cloud accounting software, helping small to medium-sized businesses, sole traders, and individuals save hours by recording and analyzing all of their client data in one centralized hub.</t>
        </is>
      </c>
      <c r="G49" s="15" t="inlineStr">
        <is>
          <t>Information Technology</t>
        </is>
      </c>
      <c r="H49" s="16" t="inlineStr">
        <is>
          <t>Software</t>
        </is>
      </c>
      <c r="I49" s="17" t="inlineStr">
        <is>
          <t>Financial Software</t>
        </is>
      </c>
      <c r="J49" s="18" t="inlineStr">
        <is>
          <t>Financial Software*; Business/Productivity Software</t>
        </is>
      </c>
      <c r="K49" s="19" t="inlineStr">
        <is>
          <t>FinTech, Mobile, SaaS</t>
        </is>
      </c>
      <c r="L49" s="20" t="inlineStr">
        <is>
          <t>Venture Capital-Backed</t>
        </is>
      </c>
      <c r="M49" s="21" t="n">
        <v>55.79</v>
      </c>
      <c r="N49" s="22" t="inlineStr">
        <is>
          <t>Generating Revenue</t>
        </is>
      </c>
      <c r="O49" s="23" t="inlineStr">
        <is>
          <t>Privately Held (backing)</t>
        </is>
      </c>
      <c r="P49" s="24" t="inlineStr">
        <is>
          <t>Venture Capital</t>
        </is>
      </c>
      <c r="Q49" s="25" t="inlineStr">
        <is>
          <t>www.receipt-bank.com</t>
        </is>
      </c>
      <c r="R49" s="26" t="n">
        <v>86.0</v>
      </c>
      <c r="S49" s="27" t="inlineStr">
        <is>
          <t/>
        </is>
      </c>
      <c r="T49" s="28" t="inlineStr">
        <is>
          <t/>
        </is>
      </c>
      <c r="U49" s="29" t="n">
        <v>2010.0</v>
      </c>
      <c r="V49" s="30" t="inlineStr">
        <is>
          <t/>
        </is>
      </c>
      <c r="W49" s="31" t="inlineStr">
        <is>
          <t/>
        </is>
      </c>
      <c r="X49" s="32" t="inlineStr">
        <is>
          <t/>
        </is>
      </c>
      <c r="Y49" s="33" t="inlineStr">
        <is>
          <t/>
        </is>
      </c>
      <c r="Z49" s="34" t="inlineStr">
        <is>
          <t/>
        </is>
      </c>
      <c r="AA49" s="35" t="inlineStr">
        <is>
          <t/>
        </is>
      </c>
      <c r="AB49" s="36" t="inlineStr">
        <is>
          <t/>
        </is>
      </c>
      <c r="AC49" s="37" t="inlineStr">
        <is>
          <t/>
        </is>
      </c>
      <c r="AD49" s="38" t="inlineStr">
        <is>
          <t/>
        </is>
      </c>
      <c r="AE49" s="39" t="inlineStr">
        <is>
          <t>126958-87P</t>
        </is>
      </c>
      <c r="AF49" s="40" t="inlineStr">
        <is>
          <t>Alexis Prenn</t>
        </is>
      </c>
      <c r="AG49" s="41" t="inlineStr">
        <is>
          <t>Co-Founder &amp; Chief Executive Officer</t>
        </is>
      </c>
      <c r="AH49" s="42" t="inlineStr">
        <is>
          <t>alexis@receipt-bank.com</t>
        </is>
      </c>
      <c r="AI49" s="43" t="inlineStr">
        <is>
          <t>+44 (0)20 7197 9546</t>
        </is>
      </c>
      <c r="AJ49" s="44" t="inlineStr">
        <is>
          <t>London, United Kingdom</t>
        </is>
      </c>
      <c r="AK49" s="45" t="inlineStr">
        <is>
          <t>154-160 Fleet Street</t>
        </is>
      </c>
      <c r="AL49" s="46" t="inlineStr">
        <is>
          <t>6th Floor</t>
        </is>
      </c>
      <c r="AM49" s="47" t="inlineStr">
        <is>
          <t>London</t>
        </is>
      </c>
      <c r="AN49" s="48" t="inlineStr">
        <is>
          <t>England</t>
        </is>
      </c>
      <c r="AO49" s="49" t="inlineStr">
        <is>
          <t>EC4A 2DQ</t>
        </is>
      </c>
      <c r="AP49" s="50" t="inlineStr">
        <is>
          <t>United Kingdom</t>
        </is>
      </c>
      <c r="AQ49" s="51" t="inlineStr">
        <is>
          <t>+44 (0)20 7197 9546</t>
        </is>
      </c>
      <c r="AR49" s="52" t="inlineStr">
        <is>
          <t/>
        </is>
      </c>
      <c r="AS49" s="53" t="inlineStr">
        <is>
          <t>info@receipt-bank.com</t>
        </is>
      </c>
      <c r="AT49" s="54" t="inlineStr">
        <is>
          <t>Europe</t>
        </is>
      </c>
      <c r="AU49" s="55" t="inlineStr">
        <is>
          <t>Western Europe</t>
        </is>
      </c>
      <c r="AV49" s="56" t="inlineStr">
        <is>
          <t>The company raised $50 million of Series B venture funding from Insight Venture Partners on July 20, 2017. The funds will be used to further develop their proprietary technologies and bring these services to even more leading accounting and bookkeeping firms and their small business clients and hire 40 new UK-based staffs. The company raised $65M to date.</t>
        </is>
      </c>
      <c r="AW49" s="57" t="inlineStr">
        <is>
          <t>Insight Venture Partners, Kennet Partners</t>
        </is>
      </c>
      <c r="AX49" s="58" t="n">
        <v>2.0</v>
      </c>
      <c r="AY49" s="59" t="inlineStr">
        <is>
          <t/>
        </is>
      </c>
      <c r="AZ49" s="60" t="inlineStr">
        <is>
          <t/>
        </is>
      </c>
      <c r="BA49" s="61" t="inlineStr">
        <is>
          <t/>
        </is>
      </c>
      <c r="BB49" s="62" t="inlineStr">
        <is>
          <t>Insight Venture Partners (www.insightpartners.com), Kennet Partners (www.kennet.com)</t>
        </is>
      </c>
      <c r="BC49" s="63" t="inlineStr">
        <is>
          <t/>
        </is>
      </c>
      <c r="BD49" s="64" t="inlineStr">
        <is>
          <t/>
        </is>
      </c>
      <c r="BE49" s="65" t="inlineStr">
        <is>
          <t>Upscale UK (Consulting), Cooley (Legal Advisor), Future Fifty (Consulting)</t>
        </is>
      </c>
      <c r="BF49" s="66" t="inlineStr">
        <is>
          <t>Capital Strategy Corporate Finance Limited (Advisor: General), Capital SCF (Advisor: General), Cooley (Legal Advisor)</t>
        </is>
      </c>
      <c r="BG49" s="67" t="n">
        <v>41152.0</v>
      </c>
      <c r="BH49" s="68" t="n">
        <v>0.13</v>
      </c>
      <c r="BI49" s="69" t="inlineStr">
        <is>
          <t>Actual</t>
        </is>
      </c>
      <c r="BJ49" s="70" t="n">
        <v>0.38</v>
      </c>
      <c r="BK49" s="71" t="inlineStr">
        <is>
          <t>Actual</t>
        </is>
      </c>
      <c r="BL49" s="72" t="inlineStr">
        <is>
          <t>Angel (individual)</t>
        </is>
      </c>
      <c r="BM49" s="73" t="inlineStr">
        <is>
          <t>Angel</t>
        </is>
      </c>
      <c r="BN49" s="74" t="inlineStr">
        <is>
          <t/>
        </is>
      </c>
      <c r="BO49" s="75" t="inlineStr">
        <is>
          <t>Individual</t>
        </is>
      </c>
      <c r="BP49" s="76" t="inlineStr">
        <is>
          <t/>
        </is>
      </c>
      <c r="BQ49" s="77" t="inlineStr">
        <is>
          <t/>
        </is>
      </c>
      <c r="BR49" s="78" t="inlineStr">
        <is>
          <t/>
        </is>
      </c>
      <c r="BS49" s="79" t="inlineStr">
        <is>
          <t>Completed</t>
        </is>
      </c>
      <c r="BT49" s="80" t="n">
        <v>42936.0</v>
      </c>
      <c r="BU49" s="81" t="n">
        <v>43.43</v>
      </c>
      <c r="BV49" s="82" t="inlineStr">
        <is>
          <t>Actual</t>
        </is>
      </c>
      <c r="BW49" s="83" t="inlineStr">
        <is>
          <t/>
        </is>
      </c>
      <c r="BX49" s="84" t="inlineStr">
        <is>
          <t/>
        </is>
      </c>
      <c r="BY49" s="85" t="inlineStr">
        <is>
          <t>Later Stage VC</t>
        </is>
      </c>
      <c r="BZ49" s="86" t="inlineStr">
        <is>
          <t>Series B</t>
        </is>
      </c>
      <c r="CA49" s="87" t="inlineStr">
        <is>
          <t/>
        </is>
      </c>
      <c r="CB49" s="88" t="inlineStr">
        <is>
          <t>Venture Capital</t>
        </is>
      </c>
      <c r="CC49" s="89" t="inlineStr">
        <is>
          <t/>
        </is>
      </c>
      <c r="CD49" s="90" t="inlineStr">
        <is>
          <t/>
        </is>
      </c>
      <c r="CE49" s="91" t="inlineStr">
        <is>
          <t/>
        </is>
      </c>
      <c r="CF49" s="92" t="inlineStr">
        <is>
          <t>Completed</t>
        </is>
      </c>
      <c r="CG49" s="93" t="inlineStr">
        <is>
          <t>-1,45%</t>
        </is>
      </c>
      <c r="CH49" s="94" t="inlineStr">
        <is>
          <t>12</t>
        </is>
      </c>
      <c r="CI49" s="95" t="inlineStr">
        <is>
          <t>0,11%</t>
        </is>
      </c>
      <c r="CJ49" s="96" t="inlineStr">
        <is>
          <t>7,23%</t>
        </is>
      </c>
      <c r="CK49" s="97" t="inlineStr">
        <is>
          <t>-8,43%</t>
        </is>
      </c>
      <c r="CL49" s="98" t="inlineStr">
        <is>
          <t>4</t>
        </is>
      </c>
      <c r="CM49" s="99" t="inlineStr">
        <is>
          <t>0,64%</t>
        </is>
      </c>
      <c r="CN49" s="100" t="inlineStr">
        <is>
          <t>92</t>
        </is>
      </c>
      <c r="CO49" s="101" t="inlineStr">
        <is>
          <t>-16,94%</t>
        </is>
      </c>
      <c r="CP49" s="102" t="inlineStr">
        <is>
          <t>7</t>
        </is>
      </c>
      <c r="CQ49" s="103" t="inlineStr">
        <is>
          <t>0,08%</t>
        </is>
      </c>
      <c r="CR49" s="104" t="inlineStr">
        <is>
          <t>89</t>
        </is>
      </c>
      <c r="CS49" s="105" t="inlineStr">
        <is>
          <t>0,85%</t>
        </is>
      </c>
      <c r="CT49" s="106" t="inlineStr">
        <is>
          <t>93</t>
        </is>
      </c>
      <c r="CU49" s="107" t="inlineStr">
        <is>
          <t>0,43%</t>
        </is>
      </c>
      <c r="CV49" s="108" t="inlineStr">
        <is>
          <t>89</t>
        </is>
      </c>
      <c r="CW49" s="109" t="inlineStr">
        <is>
          <t>11,88x</t>
        </is>
      </c>
      <c r="CX49" s="110" t="inlineStr">
        <is>
          <t>89</t>
        </is>
      </c>
      <c r="CY49" s="111" t="inlineStr">
        <is>
          <t>-0,22x</t>
        </is>
      </c>
      <c r="CZ49" s="112" t="inlineStr">
        <is>
          <t>-1,78%</t>
        </is>
      </c>
      <c r="DA49" s="113" t="inlineStr">
        <is>
          <t>25,22x</t>
        </is>
      </c>
      <c r="DB49" s="114" t="inlineStr">
        <is>
          <t>95</t>
        </is>
      </c>
      <c r="DC49" s="115" t="inlineStr">
        <is>
          <t>21,01x</t>
        </is>
      </c>
      <c r="DD49" s="116" t="inlineStr">
        <is>
          <t>90</t>
        </is>
      </c>
      <c r="DE49" s="117" t="inlineStr">
        <is>
          <t>8,31x</t>
        </is>
      </c>
      <c r="DF49" s="118" t="inlineStr">
        <is>
          <t>86</t>
        </is>
      </c>
      <c r="DG49" s="119" t="inlineStr">
        <is>
          <t>42,14x</t>
        </is>
      </c>
      <c r="DH49" s="120" t="inlineStr">
        <is>
          <t>97</t>
        </is>
      </c>
      <c r="DI49" s="121" t="inlineStr">
        <is>
          <t>6,77x</t>
        </is>
      </c>
      <c r="DJ49" s="122" t="inlineStr">
        <is>
          <t>78</t>
        </is>
      </c>
      <c r="DK49" s="123" t="inlineStr">
        <is>
          <t>35,25x</t>
        </is>
      </c>
      <c r="DL49" s="124" t="inlineStr">
        <is>
          <t>95</t>
        </is>
      </c>
      <c r="DM49" s="125" t="inlineStr">
        <is>
          <t>3.047</t>
        </is>
      </c>
      <c r="DN49" s="126" t="inlineStr">
        <is>
          <t>178</t>
        </is>
      </c>
      <c r="DO49" s="127" t="inlineStr">
        <is>
          <t>6,20%</t>
        </is>
      </c>
      <c r="DP49" s="128" t="inlineStr">
        <is>
          <t>5.344</t>
        </is>
      </c>
      <c r="DQ49" s="129" t="inlineStr">
        <is>
          <t>61</t>
        </is>
      </c>
      <c r="DR49" s="130" t="inlineStr">
        <is>
          <t>1,15%</t>
        </is>
      </c>
      <c r="DS49" s="131" t="inlineStr">
        <is>
          <t>1.540</t>
        </is>
      </c>
      <c r="DT49" s="132" t="inlineStr">
        <is>
          <t>-30</t>
        </is>
      </c>
      <c r="DU49" s="133" t="inlineStr">
        <is>
          <t>-1,91%</t>
        </is>
      </c>
      <c r="DV49" s="134" t="inlineStr">
        <is>
          <t>13.166</t>
        </is>
      </c>
      <c r="DW49" s="135" t="inlineStr">
        <is>
          <t>52</t>
        </is>
      </c>
      <c r="DX49" s="136" t="inlineStr">
        <is>
          <t>0,40%</t>
        </is>
      </c>
      <c r="DY49" s="137" t="inlineStr">
        <is>
          <t>PitchBook Research</t>
        </is>
      </c>
      <c r="DZ49" s="785">
        <f>HYPERLINK("https://my.pitchbook.com?c=93057-85", "View company online")</f>
      </c>
    </row>
    <row r="50">
      <c r="A50" s="139" t="inlineStr">
        <is>
          <t>54038-26</t>
        </is>
      </c>
      <c r="B50" s="140" t="inlineStr">
        <is>
          <t>CurrencyCloud</t>
        </is>
      </c>
      <c r="C50" s="141" t="inlineStr">
        <is>
          <t/>
        </is>
      </c>
      <c r="D50" s="142" t="inlineStr">
        <is>
          <t/>
        </is>
      </c>
      <c r="E50" s="143" t="inlineStr">
        <is>
          <t>54038-26</t>
        </is>
      </c>
      <c r="F50" s="144" t="inlineStr">
        <is>
          <t>Developer of a foreign exchange payments automation platform designed to remit cross border payments through API. The company's Payment Engine is re-imagining the way money flows through the global digital economy, allowing payment firms to remove the friction and inefficiencies of traditional cross-border payments using its flexible APIs.</t>
        </is>
      </c>
      <c r="G50" s="145" t="inlineStr">
        <is>
          <t>Financial Services</t>
        </is>
      </c>
      <c r="H50" s="146" t="inlineStr">
        <is>
          <t>Other Financial Services</t>
        </is>
      </c>
      <c r="I50" s="147" t="inlineStr">
        <is>
          <t>Other Financial Services</t>
        </is>
      </c>
      <c r="J50" s="148" t="inlineStr">
        <is>
          <t>Other Financial Services*; Financial Software</t>
        </is>
      </c>
      <c r="K50" s="149" t="inlineStr">
        <is>
          <t>FinTech</t>
        </is>
      </c>
      <c r="L50" s="150" t="inlineStr">
        <is>
          <t>Venture Capital-Backed</t>
        </is>
      </c>
      <c r="M50" s="151" t="n">
        <v>55.73</v>
      </c>
      <c r="N50" s="152" t="inlineStr">
        <is>
          <t>Generating Revenue</t>
        </is>
      </c>
      <c r="O50" s="153" t="inlineStr">
        <is>
          <t>Privately Held (backing)</t>
        </is>
      </c>
      <c r="P50" s="154" t="inlineStr">
        <is>
          <t>Venture Capital</t>
        </is>
      </c>
      <c r="Q50" s="155" t="inlineStr">
        <is>
          <t>www.currencycloud.com</t>
        </is>
      </c>
      <c r="R50" s="156" t="n">
        <v>83.0</v>
      </c>
      <c r="S50" s="157" t="inlineStr">
        <is>
          <t/>
        </is>
      </c>
      <c r="T50" s="158" t="inlineStr">
        <is>
          <t/>
        </is>
      </c>
      <c r="U50" s="159" t="n">
        <v>2007.0</v>
      </c>
      <c r="V50" s="160" t="inlineStr">
        <is>
          <t/>
        </is>
      </c>
      <c r="W50" s="161" t="inlineStr">
        <is>
          <t/>
        </is>
      </c>
      <c r="X50" s="162" t="inlineStr">
        <is>
          <r>
            <rPr>
              <b/>
              <color rgb="ff26854d"/>
              <rFont val="Arial"/>
              <sz val="8.0"/>
            </rPr>
            <t>People</t>
          </r>
          <r>
            <rPr>
              <color rgb="ff707070"/>
              <rFont val="Arial"/>
              <sz val="7.0"/>
            </rPr>
            <t xml:space="preserve"> NEW  </t>
          </r>
          <r>
            <rPr>
              <color rgb="ff000000"/>
              <rFont val="Arial"/>
              <sz val="8.0"/>
            </rPr>
            <t>Tanya Ziv, Chief Compliance Officer and Money Laundering Reporting Officer</t>
          </r>
          <r>
            <rPr>
              <color rgb="ff000000"/>
              <rFont val="Arial"/>
              <sz val="8.0"/>
            </rPr>
            <t xml:space="preserve">
</t>
          </r>
          <r>
            <rPr>
              <b/>
              <color rgb="ff26854d"/>
              <rFont val="Arial"/>
              <sz val="8.0"/>
            </rPr>
            <t>News</t>
          </r>
          <r>
            <rPr>
              <color rgb="ff707070"/>
              <rFont val="Arial"/>
              <sz val="7.0"/>
            </rPr>
            <t xml:space="preserve"> NEW  </t>
          </r>
        </is>
      </c>
      <c r="Y50" s="163" t="n">
        <v>8.99263</v>
      </c>
      <c r="Z50" s="164" t="n">
        <v>3.49081</v>
      </c>
      <c r="AA50" s="165" t="inlineStr">
        <is>
          <t/>
        </is>
      </c>
      <c r="AB50" s="166" t="inlineStr">
        <is>
          <t/>
        </is>
      </c>
      <c r="AC50" s="167" t="n">
        <v>-0.0664</v>
      </c>
      <c r="AD50" s="168" t="inlineStr">
        <is>
          <t>FY 2016</t>
        </is>
      </c>
      <c r="AE50" s="169" t="inlineStr">
        <is>
          <t>135642-16P</t>
        </is>
      </c>
      <c r="AF50" s="170" t="inlineStr">
        <is>
          <t>Fiona Tee</t>
        </is>
      </c>
      <c r="AG50" s="171" t="inlineStr">
        <is>
          <t>Chief Financial Officer &amp; Board Member</t>
        </is>
      </c>
      <c r="AH50" s="172" t="inlineStr">
        <is>
          <t>fiona.tee@currencycloud.com</t>
        </is>
      </c>
      <c r="AI50" s="173" t="inlineStr">
        <is>
          <t>+44 (0)20 3326 8173</t>
        </is>
      </c>
      <c r="AJ50" s="174" t="inlineStr">
        <is>
          <t>London, United Kingdom</t>
        </is>
      </c>
      <c r="AK50" s="175" t="inlineStr">
        <is>
          <t>The Steward Building</t>
        </is>
      </c>
      <c r="AL50" s="176" t="inlineStr">
        <is>
          <t>12 Steward Street</t>
        </is>
      </c>
      <c r="AM50" s="177" t="inlineStr">
        <is>
          <t>London</t>
        </is>
      </c>
      <c r="AN50" s="178" t="inlineStr">
        <is>
          <t>England</t>
        </is>
      </c>
      <c r="AO50" s="179" t="inlineStr">
        <is>
          <t>E1 6FQ</t>
        </is>
      </c>
      <c r="AP50" s="180" t="inlineStr">
        <is>
          <t>United Kingdom</t>
        </is>
      </c>
      <c r="AQ50" s="181" t="inlineStr">
        <is>
          <t>+44 (0)20 3326 8173</t>
        </is>
      </c>
      <c r="AR50" s="182" t="inlineStr">
        <is>
          <t/>
        </is>
      </c>
      <c r="AS50" s="183" t="inlineStr">
        <is>
          <t>info@thecurrencycloud.com</t>
        </is>
      </c>
      <c r="AT50" s="184" t="inlineStr">
        <is>
          <t>Europe</t>
        </is>
      </c>
      <c r="AU50" s="185" t="inlineStr">
        <is>
          <t>Western Europe</t>
        </is>
      </c>
      <c r="AV50" s="186" t="inlineStr">
        <is>
          <t>The company raised GBP 20 million of Series D venture funding in a deal led by GV on March 8, 2017. Notion Capital, Sapphire Ventures, Rakuten and Anthemis Group also participated in the round. The company has raised $61 million in total funding to date and intends to use the funds to fuel their continued growth and ongoing global expansion.</t>
        </is>
      </c>
      <c r="AW50" s="187" t="inlineStr">
        <is>
          <t>Accomplice VC, Anthemis Group, Atlas Venture, City of London Group, GV, Kreos Capital, Notion Capital, Rakuten Capital, Sapphire Ventures, Silicon Valley Bank, Siparex Group, XAnge Private Equity</t>
        </is>
      </c>
      <c r="AX50" s="188" t="n">
        <v>12.0</v>
      </c>
      <c r="AY50" s="189" t="inlineStr">
        <is>
          <t/>
        </is>
      </c>
      <c r="AZ50" s="190" t="inlineStr">
        <is>
          <t/>
        </is>
      </c>
      <c r="BA50" s="191" t="inlineStr">
        <is>
          <t/>
        </is>
      </c>
      <c r="BB50" s="192" t="inlineStr">
        <is>
          <t>Accomplice VC (www.accomplice.co), Anthemis Group (www.anthemis.com), Atlas Venture (www.atlasventure.com), City of London Group (www.cityoflondongroup.com), GV (www.gv.com), Kreos Capital (www.kreoscapital.com), Notion Capital (www.notioncapital.com), Rakuten Capital (capital.rakuten.com), Sapphire Ventures (www.sapphireventures.com), Silicon Valley Bank (www.svb.com), Siparex Group (www.siparex.com), XAnge Private Equity (www.xange.fr)</t>
        </is>
      </c>
      <c r="BC50" s="193" t="inlineStr">
        <is>
          <t/>
        </is>
      </c>
      <c r="BD50" s="194" t="inlineStr">
        <is>
          <t/>
        </is>
      </c>
      <c r="BE50" s="195" t="inlineStr">
        <is>
          <t>Kreston Reeves (Auditor), Orrick, Herrington &amp; Sutcliffe (Legal Advisor), Renaissance Leadership (Consulting), Maclay Murray &amp; Spens (Legal Advisor), King &amp; Wood Mallesons (Legal Advisor)</t>
        </is>
      </c>
      <c r="BF50" s="196" t="inlineStr">
        <is>
          <t>Orrick, Herrington &amp; Sutcliffe (Legal Advisor), King &amp; Wood Mallesons (Legal Advisor), Kreos Capital (Debt Financing)</t>
        </is>
      </c>
      <c r="BG50" s="197" t="inlineStr">
        <is>
          <t/>
        </is>
      </c>
      <c r="BH50" s="198" t="n">
        <v>1.7</v>
      </c>
      <c r="BI50" s="199" t="inlineStr">
        <is>
          <t>Actual</t>
        </is>
      </c>
      <c r="BJ50" s="200" t="inlineStr">
        <is>
          <t/>
        </is>
      </c>
      <c r="BK50" s="201" t="inlineStr">
        <is>
          <t/>
        </is>
      </c>
      <c r="BL50" s="202" t="inlineStr">
        <is>
          <t>Seed Round</t>
        </is>
      </c>
      <c r="BM50" s="203" t="inlineStr">
        <is>
          <t>Seed</t>
        </is>
      </c>
      <c r="BN50" s="204" t="inlineStr">
        <is>
          <t/>
        </is>
      </c>
      <c r="BO50" s="205" t="inlineStr">
        <is>
          <t>Venture Capital</t>
        </is>
      </c>
      <c r="BP50" s="206" t="inlineStr">
        <is>
          <t/>
        </is>
      </c>
      <c r="BQ50" s="207" t="inlineStr">
        <is>
          <t/>
        </is>
      </c>
      <c r="BR50" s="208" t="inlineStr">
        <is>
          <t/>
        </is>
      </c>
      <c r="BS50" s="209" t="inlineStr">
        <is>
          <t>Completed</t>
        </is>
      </c>
      <c r="BT50" s="210" t="n">
        <v>42802.0</v>
      </c>
      <c r="BU50" s="211" t="n">
        <v>23.08</v>
      </c>
      <c r="BV50" s="212" t="inlineStr">
        <is>
          <t>Actual</t>
        </is>
      </c>
      <c r="BW50" s="213" t="inlineStr">
        <is>
          <t/>
        </is>
      </c>
      <c r="BX50" s="214" t="inlineStr">
        <is>
          <t/>
        </is>
      </c>
      <c r="BY50" s="215" t="inlineStr">
        <is>
          <t>Later Stage VC</t>
        </is>
      </c>
      <c r="BZ50" s="216" t="inlineStr">
        <is>
          <t>Series D</t>
        </is>
      </c>
      <c r="CA50" s="217" t="inlineStr">
        <is>
          <t/>
        </is>
      </c>
      <c r="CB50" s="218" t="inlineStr">
        <is>
          <t>Venture Capital</t>
        </is>
      </c>
      <c r="CC50" s="219" t="inlineStr">
        <is>
          <t/>
        </is>
      </c>
      <c r="CD50" s="220" t="inlineStr">
        <is>
          <t/>
        </is>
      </c>
      <c r="CE50" s="221" t="inlineStr">
        <is>
          <t/>
        </is>
      </c>
      <c r="CF50" s="222" t="inlineStr">
        <is>
          <t>Completed</t>
        </is>
      </c>
      <c r="CG50" s="223" t="inlineStr">
        <is>
          <t>-6,12%</t>
        </is>
      </c>
      <c r="CH50" s="224" t="inlineStr">
        <is>
          <t>3</t>
        </is>
      </c>
      <c r="CI50" s="225" t="inlineStr">
        <is>
          <t>-0,17%</t>
        </is>
      </c>
      <c r="CJ50" s="226" t="inlineStr">
        <is>
          <t>-2,90%</t>
        </is>
      </c>
      <c r="CK50" s="227" t="inlineStr">
        <is>
          <t>-12,25%</t>
        </is>
      </c>
      <c r="CL50" s="228" t="inlineStr">
        <is>
          <t>2</t>
        </is>
      </c>
      <c r="CM50" s="229" t="inlineStr">
        <is>
          <t>0,02%</t>
        </is>
      </c>
      <c r="CN50" s="230" t="inlineStr">
        <is>
          <t>44</t>
        </is>
      </c>
      <c r="CO50" s="231" t="inlineStr">
        <is>
          <t>-17,78%</t>
        </is>
      </c>
      <c r="CP50" s="232" t="inlineStr">
        <is>
          <t>6</t>
        </is>
      </c>
      <c r="CQ50" s="233" t="inlineStr">
        <is>
          <t>-6,73%</t>
        </is>
      </c>
      <c r="CR50" s="234" t="inlineStr">
        <is>
          <t>1</t>
        </is>
      </c>
      <c r="CS50" s="235" t="inlineStr">
        <is>
          <t>0,05%</t>
        </is>
      </c>
      <c r="CT50" s="236" t="inlineStr">
        <is>
          <t>48</t>
        </is>
      </c>
      <c r="CU50" s="237" t="inlineStr">
        <is>
          <t>0,00%</t>
        </is>
      </c>
      <c r="CV50" s="238" t="inlineStr">
        <is>
          <t>21</t>
        </is>
      </c>
      <c r="CW50" s="239" t="inlineStr">
        <is>
          <t>4,28x</t>
        </is>
      </c>
      <c r="CX50" s="240" t="inlineStr">
        <is>
          <t>78</t>
        </is>
      </c>
      <c r="CY50" s="241" t="inlineStr">
        <is>
          <t>-0,06x</t>
        </is>
      </c>
      <c r="CZ50" s="242" t="inlineStr">
        <is>
          <t>-1,30%</t>
        </is>
      </c>
      <c r="DA50" s="243" t="inlineStr">
        <is>
          <t>8,38x</t>
        </is>
      </c>
      <c r="DB50" s="244" t="inlineStr">
        <is>
          <t>87</t>
        </is>
      </c>
      <c r="DC50" s="245" t="inlineStr">
        <is>
          <t>0,19x</t>
        </is>
      </c>
      <c r="DD50" s="246" t="inlineStr">
        <is>
          <t>20</t>
        </is>
      </c>
      <c r="DE50" s="247" t="inlineStr">
        <is>
          <t>1,98x</t>
        </is>
      </c>
      <c r="DF50" s="248" t="inlineStr">
        <is>
          <t>66</t>
        </is>
      </c>
      <c r="DG50" s="249" t="inlineStr">
        <is>
          <t>14,78x</t>
        </is>
      </c>
      <c r="DH50" s="250" t="inlineStr">
        <is>
          <t>91</t>
        </is>
      </c>
      <c r="DI50" s="251" t="inlineStr">
        <is>
          <t>0,34x</t>
        </is>
      </c>
      <c r="DJ50" s="252" t="inlineStr">
        <is>
          <t>32</t>
        </is>
      </c>
      <c r="DK50" s="253" t="inlineStr">
        <is>
          <t>0,03x</t>
        </is>
      </c>
      <c r="DL50" s="254" t="inlineStr">
        <is>
          <t>7</t>
        </is>
      </c>
      <c r="DM50" s="255" t="inlineStr">
        <is>
          <t>739</t>
        </is>
      </c>
      <c r="DN50" s="256" t="inlineStr">
        <is>
          <t>-20</t>
        </is>
      </c>
      <c r="DO50" s="257" t="inlineStr">
        <is>
          <t>-2,64%</t>
        </is>
      </c>
      <c r="DP50" s="258" t="inlineStr">
        <is>
          <t>272</t>
        </is>
      </c>
      <c r="DQ50" s="259" t="inlineStr">
        <is>
          <t>-1</t>
        </is>
      </c>
      <c r="DR50" s="260" t="inlineStr">
        <is>
          <t>-0,37%</t>
        </is>
      </c>
      <c r="DS50" s="261" t="inlineStr">
        <is>
          <t>535</t>
        </is>
      </c>
      <c r="DT50" s="262" t="inlineStr">
        <is>
          <t>-29</t>
        </is>
      </c>
      <c r="DU50" s="263" t="inlineStr">
        <is>
          <t>-5,14%</t>
        </is>
      </c>
      <c r="DV50" s="264" t="inlineStr">
        <is>
          <t>12</t>
        </is>
      </c>
      <c r="DW50" s="265" t="inlineStr">
        <is>
          <t>1</t>
        </is>
      </c>
      <c r="DX50" s="266" t="inlineStr">
        <is>
          <t>9,09%</t>
        </is>
      </c>
      <c r="DY50" s="267" t="inlineStr">
        <is>
          <t>PitchBook Research</t>
        </is>
      </c>
      <c r="DZ50" s="786">
        <f>HYPERLINK("https://my.pitchbook.com?c=54038-26", "View company online")</f>
      </c>
    </row>
    <row r="51">
      <c r="A51" s="9" t="inlineStr">
        <is>
          <t>59914-99</t>
        </is>
      </c>
      <c r="B51" s="10" t="inlineStr">
        <is>
          <t>Onfido</t>
        </is>
      </c>
      <c r="C51" s="11" t="inlineStr">
        <is>
          <t/>
        </is>
      </c>
      <c r="D51" s="12" t="inlineStr">
        <is>
          <t/>
        </is>
      </c>
      <c r="E51" s="13" t="inlineStr">
        <is>
          <t>59914-99</t>
        </is>
      </c>
      <c r="F51" s="14" t="inlineStr">
        <is>
          <t>Provider of an identity verification and background check platform designed to helps companies ensure their customers are who they claim to be. The company's identity verification and background check platform utilizes machine learning to automate the background checking process and is a data-driven platform that allows background checks for identity, documents, national criminal checking, county criminal checks, sex offender and terrorist checks, enabling businesses to verify identities and carry out adverse history searches at scale.</t>
        </is>
      </c>
      <c r="G51" s="15" t="inlineStr">
        <is>
          <t>Business Products and Services (B2B)</t>
        </is>
      </c>
      <c r="H51" s="16" t="inlineStr">
        <is>
          <t>Commercial Services</t>
        </is>
      </c>
      <c r="I51" s="17" t="inlineStr">
        <is>
          <t>Security Services (B2B)</t>
        </is>
      </c>
      <c r="J51" s="18" t="inlineStr">
        <is>
          <t>Security Services (B2B)*; Application Software; Business/Productivity Software</t>
        </is>
      </c>
      <c r="K51" s="19" t="inlineStr">
        <is>
          <t>Big Data, SaaS</t>
        </is>
      </c>
      <c r="L51" s="20" t="inlineStr">
        <is>
          <t>Venture Capital-Backed</t>
        </is>
      </c>
      <c r="M51" s="21" t="n">
        <v>54.22</v>
      </c>
      <c r="N51" s="22" t="inlineStr">
        <is>
          <t>Generating Revenue</t>
        </is>
      </c>
      <c r="O51" s="23" t="inlineStr">
        <is>
          <t>Privately Held (backing)</t>
        </is>
      </c>
      <c r="P51" s="24" t="inlineStr">
        <is>
          <t>Venture Capital</t>
        </is>
      </c>
      <c r="Q51" s="25" t="inlineStr">
        <is>
          <t>www.onfido.com</t>
        </is>
      </c>
      <c r="R51" s="26" t="n">
        <v>150.0</v>
      </c>
      <c r="S51" s="27" t="inlineStr">
        <is>
          <t/>
        </is>
      </c>
      <c r="T51" s="28" t="inlineStr">
        <is>
          <t/>
        </is>
      </c>
      <c r="U51" s="29" t="n">
        <v>2012.0</v>
      </c>
      <c r="V51" s="30" t="inlineStr">
        <is>
          <t/>
        </is>
      </c>
      <c r="W51" s="31" t="inlineStr">
        <is>
          <t/>
        </is>
      </c>
      <c r="X51" s="32" t="inlineStr">
        <is>
          <t/>
        </is>
      </c>
      <c r="Y51" s="33" t="inlineStr">
        <is>
          <t/>
        </is>
      </c>
      <c r="Z51" s="34" t="inlineStr">
        <is>
          <t/>
        </is>
      </c>
      <c r="AA51" s="35" t="inlineStr">
        <is>
          <t/>
        </is>
      </c>
      <c r="AB51" s="36" t="inlineStr">
        <is>
          <t/>
        </is>
      </c>
      <c r="AC51" s="37" t="inlineStr">
        <is>
          <t/>
        </is>
      </c>
      <c r="AD51" s="38" t="inlineStr">
        <is>
          <t>FY 2013</t>
        </is>
      </c>
      <c r="AE51" s="39" t="inlineStr">
        <is>
          <t>56466-46P</t>
        </is>
      </c>
      <c r="AF51" s="40" t="inlineStr">
        <is>
          <t>Eamon Jubbawy</t>
        </is>
      </c>
      <c r="AG51" s="41" t="inlineStr">
        <is>
          <t>Co-Founder, Board Member &amp; Chief Operating Officer</t>
        </is>
      </c>
      <c r="AH51" s="42" t="inlineStr">
        <is>
          <t>eamon@onfido.co.uk</t>
        </is>
      </c>
      <c r="AI51" s="43" t="inlineStr">
        <is>
          <t>+44 (0)20 8133 3628</t>
        </is>
      </c>
      <c r="AJ51" s="44" t="inlineStr">
        <is>
          <t>London, United Kingdom</t>
        </is>
      </c>
      <c r="AK51" s="45" t="inlineStr">
        <is>
          <t>40 Long Acre, Covent Garden</t>
        </is>
      </c>
      <c r="AL51" s="46" t="inlineStr">
        <is>
          <t/>
        </is>
      </c>
      <c r="AM51" s="47" t="inlineStr">
        <is>
          <t>London</t>
        </is>
      </c>
      <c r="AN51" s="48" t="inlineStr">
        <is>
          <t>England</t>
        </is>
      </c>
      <c r="AO51" s="49" t="inlineStr">
        <is>
          <t>WC2E 9LG</t>
        </is>
      </c>
      <c r="AP51" s="50" t="inlineStr">
        <is>
          <t>United Kingdom</t>
        </is>
      </c>
      <c r="AQ51" s="51" t="inlineStr">
        <is>
          <t>+44 (0)20 8133 3628</t>
        </is>
      </c>
      <c r="AR51" s="52" t="inlineStr">
        <is>
          <t/>
        </is>
      </c>
      <c r="AS51" s="53" t="inlineStr">
        <is>
          <t>info@onfido.com</t>
        </is>
      </c>
      <c r="AT51" s="54" t="inlineStr">
        <is>
          <t>Europe</t>
        </is>
      </c>
      <c r="AU51" s="55" t="inlineStr">
        <is>
          <t>Western Europe</t>
        </is>
      </c>
      <c r="AV51" s="56" t="inlineStr">
        <is>
          <t>The company raised $30 million of Series C venture funding in a deal led by Crane Ventures Partners on May 19, 2017. Hank Vigil, Microsoft Ventures, Salesforce Ventures, Talis Capital, Charlie Songhurst and other undisclosed angel investors also participated in the round. The funds will be used to scale the company's machine learning-enabled trust services for financial services firms and plans to invest in R&amp;D in machine learning and to "meet increasing customer demand" across the U.S. and other markets. The company has raised over $60 million.</t>
        </is>
      </c>
      <c r="AW51" s="57" t="inlineStr">
        <is>
          <t>Akash Gupta, B&amp;Y Venture Partners, Brent Hoberman, Brightbridge Ventures, Charles Songhurst, Crane Ventures Partners, CrunchFund, Daniel Cobley, Dominic Myers, Frédéric Mazzella, Hank Vigil, Hays Technology Ventures, IdInvest Partners, John Horan, Manoj Badale, Mark Clayton Hand, Matteo Berlucchi, Michael Arrington, Microsoft Ventures, Oxford Accelerator, Oxford University Innovation, Plug and Play Tech Center, Saïd Business School, Salesforce Ventures, Simon Heath, Spencer Hyman, Startup Funding Club, Steve Bailey, Talis Capital, Tony Kaye, University of Oxford Endowment, Wellington Partners</t>
        </is>
      </c>
      <c r="AX51" s="58" t="n">
        <v>32.0</v>
      </c>
      <c r="AY51" s="59" t="inlineStr">
        <is>
          <t/>
        </is>
      </c>
      <c r="AZ51" s="60" t="inlineStr">
        <is>
          <t/>
        </is>
      </c>
      <c r="BA51" s="61" t="inlineStr">
        <is>
          <t/>
        </is>
      </c>
      <c r="BB51" s="62" t="inlineStr">
        <is>
          <t>B&amp;Y Venture Partners (www.byvp.com), Brightbridge Ventures (www.brightbridgeventures.com), Crane Ventures Partners (www.crane.vc), CrunchFund (cf.vc), IdInvest Partners (www.idinvest.com), Michael Arrington (uncrunched.com), Microsoft Ventures (www.microsoftventures.com), Oxford Accelerator (www.oxfordaccelerator.com), Oxford University Innovation (www.innovation.ox.ac.uk), Plug and Play Tech Center (www.plugandplaytechcenter.com), Saïd Business School (www.sbs.ox.ac.uk), Startup Funding Club (www.startupfundingclub.com), Talis Capital (www.taliscapital.com), University of Oxford Endowment (www.ox.ac.uk), Wellington Partners (www.wellington-partners.com)</t>
        </is>
      </c>
      <c r="BC51" s="63" t="inlineStr">
        <is>
          <t/>
        </is>
      </c>
      <c r="BD51" s="64" t="inlineStr">
        <is>
          <t/>
        </is>
      </c>
      <c r="BE51" s="65" t="inlineStr">
        <is>
          <t>Future Fifty (Consulting), Orrick, Herrington &amp; Sutcliffe (Legal Advisor)</t>
        </is>
      </c>
      <c r="BF51" s="66" t="inlineStr">
        <is>
          <t>Orrick, Herrington &amp; Sutcliffe (Legal Advisor)</t>
        </is>
      </c>
      <c r="BG51" s="67" t="n">
        <v>41091.0</v>
      </c>
      <c r="BH51" s="68" t="inlineStr">
        <is>
          <t/>
        </is>
      </c>
      <c r="BI51" s="69" t="inlineStr">
        <is>
          <t/>
        </is>
      </c>
      <c r="BJ51" s="70" t="inlineStr">
        <is>
          <t/>
        </is>
      </c>
      <c r="BK51" s="71" t="inlineStr">
        <is>
          <t/>
        </is>
      </c>
      <c r="BL51" s="72" t="inlineStr">
        <is>
          <t>Accelerator/Incubator</t>
        </is>
      </c>
      <c r="BM51" s="73" t="inlineStr">
        <is>
          <t/>
        </is>
      </c>
      <c r="BN51" s="74" t="inlineStr">
        <is>
          <t/>
        </is>
      </c>
      <c r="BO51" s="75" t="inlineStr">
        <is>
          <t>Other</t>
        </is>
      </c>
      <c r="BP51" s="76" t="inlineStr">
        <is>
          <t/>
        </is>
      </c>
      <c r="BQ51" s="77" t="inlineStr">
        <is>
          <t/>
        </is>
      </c>
      <c r="BR51" s="78" t="inlineStr">
        <is>
          <t/>
        </is>
      </c>
      <c r="BS51" s="79" t="inlineStr">
        <is>
          <t>Completed</t>
        </is>
      </c>
      <c r="BT51" s="80" t="n">
        <v>42874.0</v>
      </c>
      <c r="BU51" s="81" t="n">
        <v>27.16</v>
      </c>
      <c r="BV51" s="82" t="inlineStr">
        <is>
          <t>Actual</t>
        </is>
      </c>
      <c r="BW51" s="83" t="inlineStr">
        <is>
          <t/>
        </is>
      </c>
      <c r="BX51" s="84" t="inlineStr">
        <is>
          <t/>
        </is>
      </c>
      <c r="BY51" s="85" t="inlineStr">
        <is>
          <t>Later Stage VC</t>
        </is>
      </c>
      <c r="BZ51" s="86" t="inlineStr">
        <is>
          <t/>
        </is>
      </c>
      <c r="CA51" s="87" t="inlineStr">
        <is>
          <t/>
        </is>
      </c>
      <c r="CB51" s="88" t="inlineStr">
        <is>
          <t>Venture Capital</t>
        </is>
      </c>
      <c r="CC51" s="89" t="inlineStr">
        <is>
          <t/>
        </is>
      </c>
      <c r="CD51" s="90" t="inlineStr">
        <is>
          <t/>
        </is>
      </c>
      <c r="CE51" s="91" t="inlineStr">
        <is>
          <t/>
        </is>
      </c>
      <c r="CF51" s="92" t="inlineStr">
        <is>
          <t>Completed</t>
        </is>
      </c>
      <c r="CG51" s="93" t="inlineStr">
        <is>
          <t>-2,11%</t>
        </is>
      </c>
      <c r="CH51" s="94" t="inlineStr">
        <is>
          <t>9</t>
        </is>
      </c>
      <c r="CI51" s="95" t="inlineStr">
        <is>
          <t>-0,01%</t>
        </is>
      </c>
      <c r="CJ51" s="96" t="inlineStr">
        <is>
          <t>-0,42%</t>
        </is>
      </c>
      <c r="CK51" s="97" t="inlineStr">
        <is>
          <t>-7,56%</t>
        </is>
      </c>
      <c r="CL51" s="98" t="inlineStr">
        <is>
          <t>5</t>
        </is>
      </c>
      <c r="CM51" s="99" t="inlineStr">
        <is>
          <t>0,63%</t>
        </is>
      </c>
      <c r="CN51" s="100" t="inlineStr">
        <is>
          <t>92</t>
        </is>
      </c>
      <c r="CO51" s="101" t="inlineStr">
        <is>
          <t>-15,12%</t>
        </is>
      </c>
      <c r="CP51" s="102" t="inlineStr">
        <is>
          <t>8</t>
        </is>
      </c>
      <c r="CQ51" s="103" t="inlineStr">
        <is>
          <t>0,00%</t>
        </is>
      </c>
      <c r="CR51" s="104" t="inlineStr">
        <is>
          <t>20</t>
        </is>
      </c>
      <c r="CS51" s="105" t="inlineStr">
        <is>
          <t>0,62%</t>
        </is>
      </c>
      <c r="CT51" s="106" t="inlineStr">
        <is>
          <t>90</t>
        </is>
      </c>
      <c r="CU51" s="107" t="inlineStr">
        <is>
          <t>0,63%</t>
        </is>
      </c>
      <c r="CV51" s="108" t="inlineStr">
        <is>
          <t>93</t>
        </is>
      </c>
      <c r="CW51" s="109" t="inlineStr">
        <is>
          <t>6,61x</t>
        </is>
      </c>
      <c r="CX51" s="110" t="inlineStr">
        <is>
          <t>83</t>
        </is>
      </c>
      <c r="CY51" s="111" t="inlineStr">
        <is>
          <t>-0,01x</t>
        </is>
      </c>
      <c r="CZ51" s="112" t="inlineStr">
        <is>
          <t>-0,22%</t>
        </is>
      </c>
      <c r="DA51" s="113" t="inlineStr">
        <is>
          <t>12,92x</t>
        </is>
      </c>
      <c r="DB51" s="114" t="inlineStr">
        <is>
          <t>91</t>
        </is>
      </c>
      <c r="DC51" s="115" t="inlineStr">
        <is>
          <t>6,38x</t>
        </is>
      </c>
      <c r="DD51" s="116" t="inlineStr">
        <is>
          <t>79</t>
        </is>
      </c>
      <c r="DE51" s="117" t="inlineStr">
        <is>
          <t>22,32x</t>
        </is>
      </c>
      <c r="DF51" s="118" t="inlineStr">
        <is>
          <t>93</t>
        </is>
      </c>
      <c r="DG51" s="119" t="inlineStr">
        <is>
          <t>3,53x</t>
        </is>
      </c>
      <c r="DH51" s="120" t="inlineStr">
        <is>
          <t>74</t>
        </is>
      </c>
      <c r="DI51" s="121" t="inlineStr">
        <is>
          <t>1,24x</t>
        </is>
      </c>
      <c r="DJ51" s="122" t="inlineStr">
        <is>
          <t>54</t>
        </is>
      </c>
      <c r="DK51" s="123" t="inlineStr">
        <is>
          <t>11,51x</t>
        </is>
      </c>
      <c r="DL51" s="124" t="inlineStr">
        <is>
          <t>88</t>
        </is>
      </c>
      <c r="DM51" s="125" t="inlineStr">
        <is>
          <t>8.262</t>
        </is>
      </c>
      <c r="DN51" s="126" t="inlineStr">
        <is>
          <t>83</t>
        </is>
      </c>
      <c r="DO51" s="127" t="inlineStr">
        <is>
          <t>1,01%</t>
        </is>
      </c>
      <c r="DP51" s="128" t="inlineStr">
        <is>
          <t>975</t>
        </is>
      </c>
      <c r="DQ51" s="129" t="inlineStr">
        <is>
          <t>6</t>
        </is>
      </c>
      <c r="DR51" s="130" t="inlineStr">
        <is>
          <t>0,62%</t>
        </is>
      </c>
      <c r="DS51" s="131" t="inlineStr">
        <is>
          <t>127</t>
        </is>
      </c>
      <c r="DT51" s="132" t="inlineStr">
        <is>
          <t>0</t>
        </is>
      </c>
      <c r="DU51" s="133" t="inlineStr">
        <is>
          <t>0,00%</t>
        </is>
      </c>
      <c r="DV51" s="134" t="inlineStr">
        <is>
          <t>4.300</t>
        </is>
      </c>
      <c r="DW51" s="135" t="inlineStr">
        <is>
          <t>13</t>
        </is>
      </c>
      <c r="DX51" s="136" t="inlineStr">
        <is>
          <t>0,30%</t>
        </is>
      </c>
      <c r="DY51" s="137" t="inlineStr">
        <is>
          <t>PitchBook Research</t>
        </is>
      </c>
      <c r="DZ51" s="785">
        <f>HYPERLINK("https://my.pitchbook.com?c=59914-99", "View company online")</f>
      </c>
    </row>
    <row r="52">
      <c r="A52" s="139" t="inlineStr">
        <is>
          <t>61950-61</t>
        </is>
      </c>
      <c r="B52" s="140" t="inlineStr">
        <is>
          <t>Lesara</t>
        </is>
      </c>
      <c r="C52" s="141" t="inlineStr">
        <is>
          <t/>
        </is>
      </c>
      <c r="D52" s="142" t="inlineStr">
        <is>
          <t/>
        </is>
      </c>
      <c r="E52" s="143" t="inlineStr">
        <is>
          <t>61950-61</t>
        </is>
      </c>
      <c r="F52" s="144" t="inlineStr">
        <is>
          <t>Operator of an online fashion portal designed to offer popular fashion and lifestyle products at competitive prices and with phenomenal discounts. The company's online fashion portal offers clothing, jewelry, electronics, home goods and other consumer items at discounted price with faster delivery options, enabling customers to avail safe and secure online shopping experience with a varied choice options.</t>
        </is>
      </c>
      <c r="G52" s="145" t="inlineStr">
        <is>
          <t>Consumer Products and Services (B2C)</t>
        </is>
      </c>
      <c r="H52" s="146" t="inlineStr">
        <is>
          <t>Retail</t>
        </is>
      </c>
      <c r="I52" s="147" t="inlineStr">
        <is>
          <t>Internet Retail</t>
        </is>
      </c>
      <c r="J52" s="148" t="inlineStr">
        <is>
          <t>Internet Retail*; Accessories; Clothing; Social/Platform Software</t>
        </is>
      </c>
      <c r="K52" s="149" t="inlineStr">
        <is>
          <t>E-Commerce</t>
        </is>
      </c>
      <c r="L52" s="150" t="inlineStr">
        <is>
          <t>Venture Capital-Backed</t>
        </is>
      </c>
      <c r="M52" s="151" t="n">
        <v>54.09</v>
      </c>
      <c r="N52" s="152" t="inlineStr">
        <is>
          <t>Generating Revenue</t>
        </is>
      </c>
      <c r="O52" s="153" t="inlineStr">
        <is>
          <t>Privately Held (backing)</t>
        </is>
      </c>
      <c r="P52" s="154" t="inlineStr">
        <is>
          <t>Venture Capital</t>
        </is>
      </c>
      <c r="Q52" s="155" t="inlineStr">
        <is>
          <t>www.lesara.de</t>
        </is>
      </c>
      <c r="R52" s="156" t="n">
        <v>300.0</v>
      </c>
      <c r="S52" s="157" t="inlineStr">
        <is>
          <t/>
        </is>
      </c>
      <c r="T52" s="158" t="inlineStr">
        <is>
          <t/>
        </is>
      </c>
      <c r="U52" s="159" t="n">
        <v>2013.0</v>
      </c>
      <c r="V52" s="160" t="inlineStr">
        <is>
          <t/>
        </is>
      </c>
      <c r="W52" s="161" t="inlineStr">
        <is>
          <t/>
        </is>
      </c>
      <c r="X52" s="162" t="inlineStr">
        <is>
          <t/>
        </is>
      </c>
      <c r="Y52" s="163" t="n">
        <v>78.70451</v>
      </c>
      <c r="Z52" s="164" t="inlineStr">
        <is>
          <t/>
        </is>
      </c>
      <c r="AA52" s="165" t="inlineStr">
        <is>
          <t/>
        </is>
      </c>
      <c r="AB52" s="166" t="inlineStr">
        <is>
          <t/>
        </is>
      </c>
      <c r="AC52" s="167" t="inlineStr">
        <is>
          <t/>
        </is>
      </c>
      <c r="AD52" s="168" t="inlineStr">
        <is>
          <t>FY 2016</t>
        </is>
      </c>
      <c r="AE52" s="169" t="inlineStr">
        <is>
          <t>40250-98P</t>
        </is>
      </c>
      <c r="AF52" s="170" t="inlineStr">
        <is>
          <t>Roman Kirsch</t>
        </is>
      </c>
      <c r="AG52" s="171" t="inlineStr">
        <is>
          <t>Co-Founder, Chief Executive Officer &amp; Managing Director</t>
        </is>
      </c>
      <c r="AH52" s="172" t="inlineStr">
        <is>
          <t>roman@lesara.de</t>
        </is>
      </c>
      <c r="AI52" s="173" t="inlineStr">
        <is>
          <t>+49 (0)30 9203 3080</t>
        </is>
      </c>
      <c r="AJ52" s="174" t="inlineStr">
        <is>
          <t>Berlin, Germany</t>
        </is>
      </c>
      <c r="AK52" s="175" t="inlineStr">
        <is>
          <t>Schicklerstraße 5</t>
        </is>
      </c>
      <c r="AL52" s="176" t="inlineStr">
        <is>
          <t/>
        </is>
      </c>
      <c r="AM52" s="177" t="inlineStr">
        <is>
          <t>Berlin</t>
        </is>
      </c>
      <c r="AN52" s="178" t="inlineStr">
        <is>
          <t/>
        </is>
      </c>
      <c r="AO52" s="179" t="inlineStr">
        <is>
          <t>10179</t>
        </is>
      </c>
      <c r="AP52" s="180" t="inlineStr">
        <is>
          <t>Germany</t>
        </is>
      </c>
      <c r="AQ52" s="181" t="inlineStr">
        <is>
          <t>+49 (0)30 9203 3080</t>
        </is>
      </c>
      <c r="AR52" s="182" t="inlineStr">
        <is>
          <t>+49 (0)30 9203 3081</t>
        </is>
      </c>
      <c r="AS52" s="183" t="inlineStr">
        <is>
          <t/>
        </is>
      </c>
      <c r="AT52" s="184" t="inlineStr">
        <is>
          <t>Europe</t>
        </is>
      </c>
      <c r="AU52" s="185" t="inlineStr">
        <is>
          <t>Western Europe</t>
        </is>
      </c>
      <c r="AV52" s="186" t="inlineStr">
        <is>
          <t>The company raised $40 million of Series C venture funding from Mangrove Capital Partners and other undisclosed investors on September 12, 2017. The company will use the funds to drive the direct-to-consumer retailer's expansion into Sweden, Denmark, Spain, Belgium and the UK.</t>
        </is>
      </c>
      <c r="AW52" s="187" t="inlineStr">
        <is>
          <t>42CAP, Cherry Ventures Management, FoundersGuild, Hartmann Holdings, Mangrove Capital Partners, Northzone Ventures, Oskar Hartmann, Partech Ventures, Paua Ventures, Simile Venture Partners, Sina Afra, Taishan Invest, Taishan XD Ventures, Vorwerk Ventures</t>
        </is>
      </c>
      <c r="AX52" s="188" t="n">
        <v>14.0</v>
      </c>
      <c r="AY52" s="189" t="inlineStr">
        <is>
          <t/>
        </is>
      </c>
      <c r="AZ52" s="190" t="inlineStr">
        <is>
          <t/>
        </is>
      </c>
      <c r="BA52" s="191" t="inlineStr">
        <is>
          <t/>
        </is>
      </c>
      <c r="BB52" s="192" t="inlineStr">
        <is>
          <t>42CAP (www.42cap.com), Cherry Ventures Management (cherry.vc), FoundersGuild (www.foundersguild.com), Hartmann Holdings (www.hartmannholdings.com), Mangrove Capital Partners (www.mangrove.vc), Northzone Ventures (www.northzone.com), Partech Ventures (www.partechventures.com), Paua Ventures (www.pauaventures.com), Simile Venture Partners (www.simileventure.com), Sina Afra (www.sinaafra.com), Taishan Invest (www.taishan-invest.com), Taishan XD Ventures (www.txdventures.com), Vorwerk Ventures (corporate.vorwerk.de)</t>
        </is>
      </c>
      <c r="BC52" s="193" t="inlineStr">
        <is>
          <t/>
        </is>
      </c>
      <c r="BD52" s="194" t="inlineStr">
        <is>
          <t/>
        </is>
      </c>
      <c r="BE52" s="195" t="inlineStr">
        <is>
          <t/>
        </is>
      </c>
      <c r="BF52" s="196" t="inlineStr">
        <is>
          <t/>
        </is>
      </c>
      <c r="BG52" s="197" t="n">
        <v>41640.0</v>
      </c>
      <c r="BH52" s="198" t="n">
        <v>1.5</v>
      </c>
      <c r="BI52" s="199" t="inlineStr">
        <is>
          <t>Actual</t>
        </is>
      </c>
      <c r="BJ52" s="200" t="inlineStr">
        <is>
          <t/>
        </is>
      </c>
      <c r="BK52" s="201" t="inlineStr">
        <is>
          <t/>
        </is>
      </c>
      <c r="BL52" s="202" t="inlineStr">
        <is>
          <t>Seed Round</t>
        </is>
      </c>
      <c r="BM52" s="203" t="inlineStr">
        <is>
          <t>Seed</t>
        </is>
      </c>
      <c r="BN52" s="204" t="inlineStr">
        <is>
          <t/>
        </is>
      </c>
      <c r="BO52" s="205" t="inlineStr">
        <is>
          <t>Venture Capital</t>
        </is>
      </c>
      <c r="BP52" s="206" t="inlineStr">
        <is>
          <t/>
        </is>
      </c>
      <c r="BQ52" s="207" t="inlineStr">
        <is>
          <t/>
        </is>
      </c>
      <c r="BR52" s="208" t="inlineStr">
        <is>
          <t/>
        </is>
      </c>
      <c r="BS52" s="209" t="inlineStr">
        <is>
          <t>Completed</t>
        </is>
      </c>
      <c r="BT52" s="210" t="n">
        <v>42990.0</v>
      </c>
      <c r="BU52" s="211" t="n">
        <v>33.56</v>
      </c>
      <c r="BV52" s="212" t="inlineStr">
        <is>
          <t>Actual</t>
        </is>
      </c>
      <c r="BW52" s="213" t="inlineStr">
        <is>
          <t/>
        </is>
      </c>
      <c r="BX52" s="214" t="inlineStr">
        <is>
          <t/>
        </is>
      </c>
      <c r="BY52" s="215" t="inlineStr">
        <is>
          <t>Later Stage VC</t>
        </is>
      </c>
      <c r="BZ52" s="216" t="inlineStr">
        <is>
          <t>Series C</t>
        </is>
      </c>
      <c r="CA52" s="217" t="inlineStr">
        <is>
          <t/>
        </is>
      </c>
      <c r="CB52" s="218" t="inlineStr">
        <is>
          <t>Venture Capital</t>
        </is>
      </c>
      <c r="CC52" s="219" t="inlineStr">
        <is>
          <t/>
        </is>
      </c>
      <c r="CD52" s="220" t="inlineStr">
        <is>
          <t/>
        </is>
      </c>
      <c r="CE52" s="221" t="inlineStr">
        <is>
          <t/>
        </is>
      </c>
      <c r="CF52" s="222" t="inlineStr">
        <is>
          <t>Completed</t>
        </is>
      </c>
      <c r="CG52" s="223" t="inlineStr">
        <is>
          <t>-6,94%</t>
        </is>
      </c>
      <c r="CH52" s="224" t="inlineStr">
        <is>
          <t>2</t>
        </is>
      </c>
      <c r="CI52" s="225" t="inlineStr">
        <is>
          <t>-0,02%</t>
        </is>
      </c>
      <c r="CJ52" s="226" t="inlineStr">
        <is>
          <t>-0,24%</t>
        </is>
      </c>
      <c r="CK52" s="227" t="inlineStr">
        <is>
          <t>-14,75%</t>
        </is>
      </c>
      <c r="CL52" s="228" t="inlineStr">
        <is>
          <t>1</t>
        </is>
      </c>
      <c r="CM52" s="229" t="inlineStr">
        <is>
          <t>0,87%</t>
        </is>
      </c>
      <c r="CN52" s="230" t="inlineStr">
        <is>
          <t>95</t>
        </is>
      </c>
      <c r="CO52" s="231" t="inlineStr">
        <is>
          <t>-29,46%</t>
        </is>
      </c>
      <c r="CP52" s="232" t="inlineStr">
        <is>
          <t>1</t>
        </is>
      </c>
      <c r="CQ52" s="233" t="inlineStr">
        <is>
          <t>-0,03%</t>
        </is>
      </c>
      <c r="CR52" s="234" t="inlineStr">
        <is>
          <t>20</t>
        </is>
      </c>
      <c r="CS52" s="235" t="inlineStr">
        <is>
          <t>1,19%</t>
        </is>
      </c>
      <c r="CT52" s="236" t="inlineStr">
        <is>
          <t>96</t>
        </is>
      </c>
      <c r="CU52" s="237" t="inlineStr">
        <is>
          <t>0,55%</t>
        </is>
      </c>
      <c r="CV52" s="238" t="inlineStr">
        <is>
          <t>92</t>
        </is>
      </c>
      <c r="CW52" s="239" t="inlineStr">
        <is>
          <t>774,69x</t>
        </is>
      </c>
      <c r="CX52" s="240" t="inlineStr">
        <is>
          <t>100</t>
        </is>
      </c>
      <c r="CY52" s="241" t="inlineStr">
        <is>
          <t>-0,26x</t>
        </is>
      </c>
      <c r="CZ52" s="242" t="inlineStr">
        <is>
          <t>-0,03%</t>
        </is>
      </c>
      <c r="DA52" s="243" t="inlineStr">
        <is>
          <t>6,39x</t>
        </is>
      </c>
      <c r="DB52" s="244" t="inlineStr">
        <is>
          <t>84</t>
        </is>
      </c>
      <c r="DC52" s="245" t="inlineStr">
        <is>
          <t>1.543,00x</t>
        </is>
      </c>
      <c r="DD52" s="246" t="inlineStr">
        <is>
          <t>100</t>
        </is>
      </c>
      <c r="DE52" s="247" t="inlineStr">
        <is>
          <t>0,27x</t>
        </is>
      </c>
      <c r="DF52" s="248" t="inlineStr">
        <is>
          <t>20</t>
        </is>
      </c>
      <c r="DG52" s="249" t="inlineStr">
        <is>
          <t>12,50x</t>
        </is>
      </c>
      <c r="DH52" s="250" t="inlineStr">
        <is>
          <t>89</t>
        </is>
      </c>
      <c r="DI52" s="251" t="inlineStr">
        <is>
          <t>3.083,68x</t>
        </is>
      </c>
      <c r="DJ52" s="252" t="inlineStr">
        <is>
          <t>100</t>
        </is>
      </c>
      <c r="DK52" s="253" t="inlineStr">
        <is>
          <t>2,32x</t>
        </is>
      </c>
      <c r="DL52" s="254" t="inlineStr">
        <is>
          <t>66</t>
        </is>
      </c>
      <c r="DM52" s="255" t="inlineStr">
        <is>
          <t>104</t>
        </is>
      </c>
      <c r="DN52" s="256" t="inlineStr">
        <is>
          <t>-14</t>
        </is>
      </c>
      <c r="DO52" s="257" t="inlineStr">
        <is>
          <t>-11,86%</t>
        </is>
      </c>
      <c r="DP52" s="258" t="inlineStr">
        <is>
          <t>2.435.038</t>
        </is>
      </c>
      <c r="DQ52" s="259" t="inlineStr">
        <is>
          <t>20.460</t>
        </is>
      </c>
      <c r="DR52" s="260" t="inlineStr">
        <is>
          <t>0,85%</t>
        </is>
      </c>
      <c r="DS52" s="261" t="inlineStr">
        <is>
          <t>450</t>
        </is>
      </c>
      <c r="DT52" s="262" t="inlineStr">
        <is>
          <t>0</t>
        </is>
      </c>
      <c r="DU52" s="263" t="inlineStr">
        <is>
          <t>0,00%</t>
        </is>
      </c>
      <c r="DV52" s="264" t="inlineStr">
        <is>
          <t>867</t>
        </is>
      </c>
      <c r="DW52" s="265" t="inlineStr">
        <is>
          <t>2</t>
        </is>
      </c>
      <c r="DX52" s="266" t="inlineStr">
        <is>
          <t>0,23%</t>
        </is>
      </c>
      <c r="DY52" s="267" t="inlineStr">
        <is>
          <t>PitchBook Research</t>
        </is>
      </c>
      <c r="DZ52" s="786">
        <f>HYPERLINK("https://my.pitchbook.com?c=61950-61", "View company online")</f>
      </c>
    </row>
    <row r="53">
      <c r="A53" s="9" t="inlineStr">
        <is>
          <t>64709-02</t>
        </is>
      </c>
      <c r="B53" s="10" t="inlineStr">
        <is>
          <t>Sophia Genetics</t>
        </is>
      </c>
      <c r="C53" s="11" t="inlineStr">
        <is>
          <t/>
        </is>
      </c>
      <c r="D53" s="12" t="inlineStr">
        <is>
          <t/>
        </is>
      </c>
      <c r="E53" s="13" t="inlineStr">
        <is>
          <t>64709-02</t>
        </is>
      </c>
      <c r="F53" s="14" t="inlineStr">
        <is>
          <t>Developer of a clinical genomics analysis platform designed to perform routine diagnostic testing. The company's clinical genomics analysis platform combines genomics, machine learning and clinical diagnostics to simplify and optimize the use of clinical genomics tests, enabling healthcare providers to access improved diagnosis through shared knowledge.</t>
        </is>
      </c>
      <c r="G53" s="15" t="inlineStr">
        <is>
          <t>Healthcare</t>
        </is>
      </c>
      <c r="H53" s="16" t="inlineStr">
        <is>
          <t>Pharmaceuticals and Biotechnology</t>
        </is>
      </c>
      <c r="I53" s="17" t="inlineStr">
        <is>
          <t>Biotechnology</t>
        </is>
      </c>
      <c r="J53" s="18" t="inlineStr">
        <is>
          <t>Biotechnology*; Other Healthcare Technology Systems</t>
        </is>
      </c>
      <c r="K53" s="19" t="inlineStr">
        <is>
          <t>Artificial Intelligence &amp; Machine Learning, Big Data, Life Sciences</t>
        </is>
      </c>
      <c r="L53" s="20" t="inlineStr">
        <is>
          <t>Venture Capital-Backed</t>
        </is>
      </c>
      <c r="M53" s="21" t="n">
        <v>53.66</v>
      </c>
      <c r="N53" s="22" t="inlineStr">
        <is>
          <t>Generating Revenue</t>
        </is>
      </c>
      <c r="O53" s="23" t="inlineStr">
        <is>
          <t>Privately Held (backing)</t>
        </is>
      </c>
      <c r="P53" s="24" t="inlineStr">
        <is>
          <t>Venture Capital</t>
        </is>
      </c>
      <c r="Q53" s="25" t="inlineStr">
        <is>
          <t>www.sophiagenetics.com</t>
        </is>
      </c>
      <c r="R53" s="26" t="n">
        <v>150.0</v>
      </c>
      <c r="S53" s="27" t="inlineStr">
        <is>
          <t/>
        </is>
      </c>
      <c r="T53" s="28" t="inlineStr">
        <is>
          <t/>
        </is>
      </c>
      <c r="U53" s="29" t="n">
        <v>2011.0</v>
      </c>
      <c r="V53" s="30" t="inlineStr">
        <is>
          <t/>
        </is>
      </c>
      <c r="W53" s="31" t="inlineStr">
        <is>
          <r>
            <rPr>
              <b/>
              <color rgb="ff26854d"/>
              <rFont val="Arial"/>
              <sz val="8.0"/>
            </rPr>
            <t>News</t>
          </r>
          <r>
            <rPr>
              <color rgb="ff707070"/>
              <rFont val="Arial"/>
              <sz val="7.0"/>
            </rPr>
            <t xml:space="preserve"> NEW  </t>
          </r>
        </is>
      </c>
      <c r="X53" s="32" t="inlineStr">
        <is>
          <r>
            <rPr>
              <b/>
              <color rgb="ff26854d"/>
              <rFont val="Arial"/>
              <sz val="8.0"/>
            </rPr>
            <t>News</t>
          </r>
          <r>
            <rPr>
              <color rgb="ff707070"/>
              <rFont val="Arial"/>
              <sz val="7.0"/>
            </rPr>
            <t xml:space="preserve"> NEW  </t>
          </r>
        </is>
      </c>
      <c r="Y53" s="33" t="n">
        <v>14.24504</v>
      </c>
      <c r="Z53" s="34" t="inlineStr">
        <is>
          <t/>
        </is>
      </c>
      <c r="AA53" s="35" t="inlineStr">
        <is>
          <t/>
        </is>
      </c>
      <c r="AB53" s="36" t="inlineStr">
        <is>
          <t/>
        </is>
      </c>
      <c r="AC53" s="37" t="inlineStr">
        <is>
          <t/>
        </is>
      </c>
      <c r="AD53" s="38" t="inlineStr">
        <is>
          <t>FY 2017</t>
        </is>
      </c>
      <c r="AE53" s="39" t="inlineStr">
        <is>
          <t>72017-11P</t>
        </is>
      </c>
      <c r="AF53" s="40" t="inlineStr">
        <is>
          <t>Jurgi Camblong</t>
        </is>
      </c>
      <c r="AG53" s="41" t="inlineStr">
        <is>
          <t>Co-Founder, Chief Executive Officer &amp; Board Member</t>
        </is>
      </c>
      <c r="AH53" s="42" t="inlineStr">
        <is>
          <t>jcamblong@sophiagenetics.com</t>
        </is>
      </c>
      <c r="AI53" s="43" t="inlineStr">
        <is>
          <t>+41 (0)21 694 1060</t>
        </is>
      </c>
      <c r="AJ53" s="44" t="inlineStr">
        <is>
          <t>Saint Sulpice, Switzerland</t>
        </is>
      </c>
      <c r="AK53" s="45" t="inlineStr">
        <is>
          <t>Rue du Centre 172</t>
        </is>
      </c>
      <c r="AL53" s="46" t="inlineStr">
        <is>
          <t/>
        </is>
      </c>
      <c r="AM53" s="47" t="inlineStr">
        <is>
          <t>Saint Sulpice</t>
        </is>
      </c>
      <c r="AN53" s="48" t="inlineStr">
        <is>
          <t/>
        </is>
      </c>
      <c r="AO53" s="49" t="inlineStr">
        <is>
          <t>1025</t>
        </is>
      </c>
      <c r="AP53" s="50" t="inlineStr">
        <is>
          <t>Switzerland</t>
        </is>
      </c>
      <c r="AQ53" s="51" t="inlineStr">
        <is>
          <t>+41 (0)21 694 1060</t>
        </is>
      </c>
      <c r="AR53" s="52" t="inlineStr">
        <is>
          <t/>
        </is>
      </c>
      <c r="AS53" s="53" t="inlineStr">
        <is>
          <t>info@sophiagenetics.com</t>
        </is>
      </c>
      <c r="AT53" s="54" t="inlineStr">
        <is>
          <t>Europe</t>
        </is>
      </c>
      <c r="AU53" s="55" t="inlineStr">
        <is>
          <t>Western Europe</t>
        </is>
      </c>
      <c r="AV53" s="56" t="inlineStr">
        <is>
          <t>The company joined Microsoft Accelerator as part of the Fall 2017 Class and received an undisclosed amount of funding on September 9, 2017. Prior to this, the company raised $30 million of Series D venture funding in a deal led by Balderton Capital on September 13, 2017. 360 Capital Partners, Invoke Capital and Alychlo also participated in this round. The company intends to use the funds to further develop its technology, expand its network of hospital tie-ups, continue recruiting talent and accelerate hospitals' adoption of clinical genomics testing.</t>
        </is>
      </c>
      <c r="AW53" s="57" t="inlineStr">
        <is>
          <t>360 Capital Partners, Alychlo, Balderton Capital, Endeavour Vision, EPFL Innovation Park, Invoke Capital, Marc Coucke, Michael Lynch, Microsoft Accelerator, Swisscom Ventures</t>
        </is>
      </c>
      <c r="AX53" s="58" t="n">
        <v>10.0</v>
      </c>
      <c r="AY53" s="59" t="inlineStr">
        <is>
          <t/>
        </is>
      </c>
      <c r="AZ53" s="60" t="inlineStr">
        <is>
          <t/>
        </is>
      </c>
      <c r="BA53" s="61" t="inlineStr">
        <is>
          <t/>
        </is>
      </c>
      <c r="BB53" s="62" t="inlineStr">
        <is>
          <t>360 Capital Partners (www.360capitalpartners.com), Balderton Capital (www.balderton.com), Endeavour Vision (www.endeavourvision.com), EPFL Innovation Park (www.epfl-innovationpark.ch), Invoke Capital (www.invokecapital.com), Microsoft Accelerator (www.microsoftaccelerator.com)</t>
        </is>
      </c>
      <c r="BC53" s="63" t="inlineStr">
        <is>
          <t/>
        </is>
      </c>
      <c r="BD53" s="64" t="inlineStr">
        <is>
          <t/>
        </is>
      </c>
      <c r="BE53" s="65" t="inlineStr">
        <is>
          <t/>
        </is>
      </c>
      <c r="BF53" s="66" t="inlineStr">
        <is>
          <t>Merodis (Advisor: General)</t>
        </is>
      </c>
      <c r="BG53" s="67" t="inlineStr">
        <is>
          <t/>
        </is>
      </c>
      <c r="BH53" s="68" t="inlineStr">
        <is>
          <t/>
        </is>
      </c>
      <c r="BI53" s="69" t="inlineStr">
        <is>
          <t/>
        </is>
      </c>
      <c r="BJ53" s="70" t="inlineStr">
        <is>
          <t/>
        </is>
      </c>
      <c r="BK53" s="71" t="inlineStr">
        <is>
          <t/>
        </is>
      </c>
      <c r="BL53" s="72" t="inlineStr">
        <is>
          <t>Accelerator/Incubator</t>
        </is>
      </c>
      <c r="BM53" s="73" t="inlineStr">
        <is>
          <t/>
        </is>
      </c>
      <c r="BN53" s="74" t="inlineStr">
        <is>
          <t/>
        </is>
      </c>
      <c r="BO53" s="75" t="inlineStr">
        <is>
          <t>Other</t>
        </is>
      </c>
      <c r="BP53" s="76" t="inlineStr">
        <is>
          <t/>
        </is>
      </c>
      <c r="BQ53" s="77" t="inlineStr">
        <is>
          <t/>
        </is>
      </c>
      <c r="BR53" s="78" t="inlineStr">
        <is>
          <t/>
        </is>
      </c>
      <c r="BS53" s="79" t="inlineStr">
        <is>
          <t>Completed</t>
        </is>
      </c>
      <c r="BT53" s="80" t="n">
        <v>42985.0</v>
      </c>
      <c r="BU53" s="81" t="inlineStr">
        <is>
          <t/>
        </is>
      </c>
      <c r="BV53" s="82" t="inlineStr">
        <is>
          <t/>
        </is>
      </c>
      <c r="BW53" s="83" t="inlineStr">
        <is>
          <t/>
        </is>
      </c>
      <c r="BX53" s="84" t="inlineStr">
        <is>
          <t/>
        </is>
      </c>
      <c r="BY53" s="85" t="inlineStr">
        <is>
          <t>Accelerator/Incubator</t>
        </is>
      </c>
      <c r="BZ53" s="86" t="inlineStr">
        <is>
          <t/>
        </is>
      </c>
      <c r="CA53" s="87" t="inlineStr">
        <is>
          <t/>
        </is>
      </c>
      <c r="CB53" s="88" t="inlineStr">
        <is>
          <t>Other</t>
        </is>
      </c>
      <c r="CC53" s="89" t="inlineStr">
        <is>
          <t/>
        </is>
      </c>
      <c r="CD53" s="90" t="inlineStr">
        <is>
          <t/>
        </is>
      </c>
      <c r="CE53" s="91" t="inlineStr">
        <is>
          <t/>
        </is>
      </c>
      <c r="CF53" s="92" t="inlineStr">
        <is>
          <t>Completed</t>
        </is>
      </c>
      <c r="CG53" s="93" t="inlineStr">
        <is>
          <t>-1,25%</t>
        </is>
      </c>
      <c r="CH53" s="94" t="inlineStr">
        <is>
          <t>13</t>
        </is>
      </c>
      <c r="CI53" s="95" t="inlineStr">
        <is>
          <t>-0,02%</t>
        </is>
      </c>
      <c r="CJ53" s="96" t="inlineStr">
        <is>
          <t>-1,72%</t>
        </is>
      </c>
      <c r="CK53" s="97" t="inlineStr">
        <is>
          <t>-4,90%</t>
        </is>
      </c>
      <c r="CL53" s="98" t="inlineStr">
        <is>
          <t>8</t>
        </is>
      </c>
      <c r="CM53" s="99" t="inlineStr">
        <is>
          <t>0,47%</t>
        </is>
      </c>
      <c r="CN53" s="100" t="inlineStr">
        <is>
          <t>88</t>
        </is>
      </c>
      <c r="CO53" s="101" t="inlineStr">
        <is>
          <t>-9,56%</t>
        </is>
      </c>
      <c r="CP53" s="102" t="inlineStr">
        <is>
          <t>13</t>
        </is>
      </c>
      <c r="CQ53" s="103" t="inlineStr">
        <is>
          <t>-0,24%</t>
        </is>
      </c>
      <c r="CR53" s="104" t="inlineStr">
        <is>
          <t>18</t>
        </is>
      </c>
      <c r="CS53" s="105" t="inlineStr">
        <is>
          <t/>
        </is>
      </c>
      <c r="CT53" s="106" t="inlineStr">
        <is>
          <t/>
        </is>
      </c>
      <c r="CU53" s="107" t="inlineStr">
        <is>
          <t>0,47%</t>
        </is>
      </c>
      <c r="CV53" s="108" t="inlineStr">
        <is>
          <t>90</t>
        </is>
      </c>
      <c r="CW53" s="109" t="inlineStr">
        <is>
          <t>12,02x</t>
        </is>
      </c>
      <c r="CX53" s="110" t="inlineStr">
        <is>
          <t>89</t>
        </is>
      </c>
      <c r="CY53" s="111" t="inlineStr">
        <is>
          <t>0,27x</t>
        </is>
      </c>
      <c r="CZ53" s="112" t="inlineStr">
        <is>
          <t>2,27%</t>
        </is>
      </c>
      <c r="DA53" s="113" t="inlineStr">
        <is>
          <t>6,75x</t>
        </is>
      </c>
      <c r="DB53" s="114" t="inlineStr">
        <is>
          <t>85</t>
        </is>
      </c>
      <c r="DC53" s="115" t="inlineStr">
        <is>
          <t>28,79x</t>
        </is>
      </c>
      <c r="DD53" s="116" t="inlineStr">
        <is>
          <t>92</t>
        </is>
      </c>
      <c r="DE53" s="117" t="inlineStr">
        <is>
          <t>0,41x</t>
        </is>
      </c>
      <c r="DF53" s="118" t="inlineStr">
        <is>
          <t>29</t>
        </is>
      </c>
      <c r="DG53" s="119" t="inlineStr">
        <is>
          <t>13,08x</t>
        </is>
      </c>
      <c r="DH53" s="120" t="inlineStr">
        <is>
          <t>90</t>
        </is>
      </c>
      <c r="DI53" s="121" t="inlineStr">
        <is>
          <t/>
        </is>
      </c>
      <c r="DJ53" s="122" t="inlineStr">
        <is>
          <t/>
        </is>
      </c>
      <c r="DK53" s="123" t="inlineStr">
        <is>
          <t>28,79x</t>
        </is>
      </c>
      <c r="DL53" s="124" t="inlineStr">
        <is>
          <t>94</t>
        </is>
      </c>
      <c r="DM53" s="125" t="inlineStr">
        <is>
          <t>161</t>
        </is>
      </c>
      <c r="DN53" s="126" t="inlineStr">
        <is>
          <t>-42</t>
        </is>
      </c>
      <c r="DO53" s="127" t="inlineStr">
        <is>
          <t>-20,69%</t>
        </is>
      </c>
      <c r="DP53" s="128" t="inlineStr">
        <is>
          <t/>
        </is>
      </c>
      <c r="DQ53" s="129" t="inlineStr">
        <is>
          <t/>
        </is>
      </c>
      <c r="DR53" s="130" t="inlineStr">
        <is>
          <t/>
        </is>
      </c>
      <c r="DS53" s="131" t="inlineStr">
        <is>
          <t>471</t>
        </is>
      </c>
      <c r="DT53" s="132" t="inlineStr">
        <is>
          <t>-1</t>
        </is>
      </c>
      <c r="DU53" s="133" t="inlineStr">
        <is>
          <t>-0,21%</t>
        </is>
      </c>
      <c r="DV53" s="134" t="inlineStr">
        <is>
          <t>10.480</t>
        </is>
      </c>
      <c r="DW53" s="135" t="inlineStr">
        <is>
          <t>140</t>
        </is>
      </c>
      <c r="DX53" s="136" t="inlineStr">
        <is>
          <t>1,35%</t>
        </is>
      </c>
      <c r="DY53" s="137" t="inlineStr">
        <is>
          <t>PitchBook Research</t>
        </is>
      </c>
      <c r="DZ53" s="785">
        <f>HYPERLINK("https://my.pitchbook.com?c=64709-02", "View company online")</f>
      </c>
    </row>
    <row r="54">
      <c r="A54" s="139" t="inlineStr">
        <is>
          <t>120009-16</t>
        </is>
      </c>
      <c r="B54" s="140" t="inlineStr">
        <is>
          <t>Starleaf</t>
        </is>
      </c>
      <c r="C54" s="141" t="inlineStr">
        <is>
          <t/>
        </is>
      </c>
      <c r="D54" s="142" t="inlineStr">
        <is>
          <t/>
        </is>
      </c>
      <c r="E54" s="143" t="inlineStr">
        <is>
          <t>120009-16</t>
        </is>
      </c>
      <c r="F54" s="144" t="inlineStr">
        <is>
          <t>Provider and manufacturer of video conferencing products designed to provide customers with video and voice communication systems. The company's Saas based services focuses on developing and designing video calling and conferencing technologies for business enterprises that can be managed via the cloud, enabling users to call anyone, including those who use Microsoft Skype for Business as their client.</t>
        </is>
      </c>
      <c r="G54" s="145" t="inlineStr">
        <is>
          <t>Information Technology</t>
        </is>
      </c>
      <c r="H54" s="146" t="inlineStr">
        <is>
          <t>Communications and Networking</t>
        </is>
      </c>
      <c r="I54" s="147" t="inlineStr">
        <is>
          <t>Other Communications and Networking</t>
        </is>
      </c>
      <c r="J54" s="148" t="inlineStr">
        <is>
          <t>Other Communications and Networking*; Telecommunications Service Providers; Wireless Communications Equipment; Communication Software</t>
        </is>
      </c>
      <c r="K54" s="149" t="inlineStr">
        <is>
          <t>Manufacturing, Mobile, SaaS</t>
        </is>
      </c>
      <c r="L54" s="150" t="inlineStr">
        <is>
          <t>Venture Capital-Backed</t>
        </is>
      </c>
      <c r="M54" s="151" t="n">
        <v>53.3</v>
      </c>
      <c r="N54" s="152" t="inlineStr">
        <is>
          <t>Generating Revenue</t>
        </is>
      </c>
      <c r="O54" s="153" t="inlineStr">
        <is>
          <t>Privately Held (backing)</t>
        </is>
      </c>
      <c r="P54" s="154" t="inlineStr">
        <is>
          <t>Venture Capital</t>
        </is>
      </c>
      <c r="Q54" s="155" t="inlineStr">
        <is>
          <t>www.starleaf.com</t>
        </is>
      </c>
      <c r="R54" s="156" t="n">
        <v>130.0</v>
      </c>
      <c r="S54" s="157" t="inlineStr">
        <is>
          <t/>
        </is>
      </c>
      <c r="T54" s="158" t="inlineStr">
        <is>
          <t/>
        </is>
      </c>
      <c r="U54" s="159" t="n">
        <v>2008.0</v>
      </c>
      <c r="V54" s="160" t="inlineStr">
        <is>
          <t/>
        </is>
      </c>
      <c r="W54" s="161" t="inlineStr">
        <is>
          <t/>
        </is>
      </c>
      <c r="X54" s="162" t="inlineStr">
        <is>
          <t/>
        </is>
      </c>
      <c r="Y54" s="163" t="n">
        <v>11.13645</v>
      </c>
      <c r="Z54" s="164" t="n">
        <v>6.48836</v>
      </c>
      <c r="AA54" s="165" t="n">
        <v>-11.38308</v>
      </c>
      <c r="AB54" s="166" t="inlineStr">
        <is>
          <t/>
        </is>
      </c>
      <c r="AC54" s="167" t="n">
        <v>-11.61074</v>
      </c>
      <c r="AD54" s="168" t="inlineStr">
        <is>
          <t>FY 2016</t>
        </is>
      </c>
      <c r="AE54" s="169" t="inlineStr">
        <is>
          <t>126481-33P</t>
        </is>
      </c>
      <c r="AF54" s="170" t="inlineStr">
        <is>
          <t>Mark Richer</t>
        </is>
      </c>
      <c r="AG54" s="171" t="inlineStr">
        <is>
          <t>Chairman &amp; Co-Founder</t>
        </is>
      </c>
      <c r="AH54" s="172" t="inlineStr">
        <is>
          <t>mark.richer@starleaf.com</t>
        </is>
      </c>
      <c r="AI54" s="173" t="inlineStr">
        <is>
          <t>+44 (0)33 0440 1847</t>
        </is>
      </c>
      <c r="AJ54" s="174" t="inlineStr">
        <is>
          <t>Watford, United Kingdom</t>
        </is>
      </c>
      <c r="AK54" s="175" t="inlineStr">
        <is>
          <t>Building 7, Croxley Park</t>
        </is>
      </c>
      <c r="AL54" s="176" t="inlineStr">
        <is>
          <t/>
        </is>
      </c>
      <c r="AM54" s="177" t="inlineStr">
        <is>
          <t>Watford</t>
        </is>
      </c>
      <c r="AN54" s="178" t="inlineStr">
        <is>
          <t>England</t>
        </is>
      </c>
      <c r="AO54" s="179" t="inlineStr">
        <is>
          <t>WD18 8YN</t>
        </is>
      </c>
      <c r="AP54" s="180" t="inlineStr">
        <is>
          <t>United Kingdom</t>
        </is>
      </c>
      <c r="AQ54" s="181" t="inlineStr">
        <is>
          <t>+44 (0)33 0440 1847</t>
        </is>
      </c>
      <c r="AR54" s="182" t="inlineStr">
        <is>
          <t/>
        </is>
      </c>
      <c r="AS54" s="183" t="inlineStr">
        <is>
          <t>hello@starleaf.com</t>
        </is>
      </c>
      <c r="AT54" s="184" t="inlineStr">
        <is>
          <t>Europe</t>
        </is>
      </c>
      <c r="AU54" s="185" t="inlineStr">
        <is>
          <t>Western Europe</t>
        </is>
      </c>
      <c r="AV54" s="186" t="inlineStr">
        <is>
          <t>The company raised GBP 32.63 million of venture funding from lead investors Highland Europe and Grafton Capital on May 9, 2017, putting the pre-money valuation at GBP 35.74 million. The company's founders also participated in the round. The company will use the funding to support rapid growth in primary markets of Europe and North America and accelerate expansion into Asia Pacific.</t>
        </is>
      </c>
      <c r="AW54" s="187" t="inlineStr">
        <is>
          <t>Grafton Capital, Highland Capital Partners Europe</t>
        </is>
      </c>
      <c r="AX54" s="188" t="n">
        <v>2.0</v>
      </c>
      <c r="AY54" s="189" t="inlineStr">
        <is>
          <t/>
        </is>
      </c>
      <c r="AZ54" s="190" t="inlineStr">
        <is>
          <t/>
        </is>
      </c>
      <c r="BA54" s="191" t="inlineStr">
        <is>
          <t/>
        </is>
      </c>
      <c r="BB54" s="192" t="inlineStr">
        <is>
          <t>Grafton Capital (www.graftoncapital.com), Highland Capital Partners Europe (www.highlandeurope.com)</t>
        </is>
      </c>
      <c r="BC54" s="193" t="inlineStr">
        <is>
          <t/>
        </is>
      </c>
      <c r="BD54" s="194" t="inlineStr">
        <is>
          <t/>
        </is>
      </c>
      <c r="BE54" s="195" t="inlineStr">
        <is>
          <t>RSM UK (Auditor)</t>
        </is>
      </c>
      <c r="BF54" s="196" t="inlineStr">
        <is>
          <t/>
        </is>
      </c>
      <c r="BG54" s="197" t="n">
        <v>40521.0</v>
      </c>
      <c r="BH54" s="198" t="n">
        <v>5.45</v>
      </c>
      <c r="BI54" s="199" t="inlineStr">
        <is>
          <t>Actual</t>
        </is>
      </c>
      <c r="BJ54" s="200" t="n">
        <v>9.45</v>
      </c>
      <c r="BK54" s="201" t="inlineStr">
        <is>
          <t>Actual</t>
        </is>
      </c>
      <c r="BL54" s="202" t="inlineStr">
        <is>
          <t>Early Stage VC</t>
        </is>
      </c>
      <c r="BM54" s="203" t="inlineStr">
        <is>
          <t/>
        </is>
      </c>
      <c r="BN54" s="204" t="inlineStr">
        <is>
          <t/>
        </is>
      </c>
      <c r="BO54" s="205" t="inlineStr">
        <is>
          <t>Venture Capital</t>
        </is>
      </c>
      <c r="BP54" s="206" t="inlineStr">
        <is>
          <t/>
        </is>
      </c>
      <c r="BQ54" s="207" t="inlineStr">
        <is>
          <t/>
        </is>
      </c>
      <c r="BR54" s="208" t="inlineStr">
        <is>
          <t/>
        </is>
      </c>
      <c r="BS54" s="209" t="inlineStr">
        <is>
          <t>Completed</t>
        </is>
      </c>
      <c r="BT54" s="210" t="n">
        <v>42864.0</v>
      </c>
      <c r="BU54" s="211" t="n">
        <v>29.55</v>
      </c>
      <c r="BV54" s="212" t="inlineStr">
        <is>
          <t>Actual</t>
        </is>
      </c>
      <c r="BW54" s="213" t="n">
        <v>61.91</v>
      </c>
      <c r="BX54" s="214" t="inlineStr">
        <is>
          <t>Actual</t>
        </is>
      </c>
      <c r="BY54" s="215" t="inlineStr">
        <is>
          <t>Later Stage VC</t>
        </is>
      </c>
      <c r="BZ54" s="216" t="inlineStr">
        <is>
          <t/>
        </is>
      </c>
      <c r="CA54" s="217" t="inlineStr">
        <is>
          <t/>
        </is>
      </c>
      <c r="CB54" s="218" t="inlineStr">
        <is>
          <t>Venture Capital</t>
        </is>
      </c>
      <c r="CC54" s="219" t="inlineStr">
        <is>
          <t/>
        </is>
      </c>
      <c r="CD54" s="220" t="inlineStr">
        <is>
          <t/>
        </is>
      </c>
      <c r="CE54" s="221" t="inlineStr">
        <is>
          <t/>
        </is>
      </c>
      <c r="CF54" s="222" t="inlineStr">
        <is>
          <t>Completed</t>
        </is>
      </c>
      <c r="CG54" s="223" t="inlineStr">
        <is>
          <t>-3,23%</t>
        </is>
      </c>
      <c r="CH54" s="224" t="inlineStr">
        <is>
          <t>6</t>
        </is>
      </c>
      <c r="CI54" s="225" t="inlineStr">
        <is>
          <t>-0,03%</t>
        </is>
      </c>
      <c r="CJ54" s="226" t="inlineStr">
        <is>
          <t>-0,82%</t>
        </is>
      </c>
      <c r="CK54" s="227" t="inlineStr">
        <is>
          <t>-10,00%</t>
        </is>
      </c>
      <c r="CL54" s="228" t="inlineStr">
        <is>
          <t>3</t>
        </is>
      </c>
      <c r="CM54" s="229" t="inlineStr">
        <is>
          <t>0,31%</t>
        </is>
      </c>
      <c r="CN54" s="230" t="inlineStr">
        <is>
          <t>81</t>
        </is>
      </c>
      <c r="CO54" s="231" t="inlineStr">
        <is>
          <t>-19,48%</t>
        </is>
      </c>
      <c r="CP54" s="232" t="inlineStr">
        <is>
          <t>6</t>
        </is>
      </c>
      <c r="CQ54" s="233" t="inlineStr">
        <is>
          <t>-0,51%</t>
        </is>
      </c>
      <c r="CR54" s="234" t="inlineStr">
        <is>
          <t>15</t>
        </is>
      </c>
      <c r="CS54" s="235" t="inlineStr">
        <is>
          <t>0,32%</t>
        </is>
      </c>
      <c r="CT54" s="236" t="inlineStr">
        <is>
          <t>79</t>
        </is>
      </c>
      <c r="CU54" s="237" t="inlineStr">
        <is>
          <t>0,31%</t>
        </is>
      </c>
      <c r="CV54" s="238" t="inlineStr">
        <is>
          <t>84</t>
        </is>
      </c>
      <c r="CW54" s="239" t="inlineStr">
        <is>
          <t>4,89x</t>
        </is>
      </c>
      <c r="CX54" s="240" t="inlineStr">
        <is>
          <t>80</t>
        </is>
      </c>
      <c r="CY54" s="241" t="inlineStr">
        <is>
          <t>-0,02x</t>
        </is>
      </c>
      <c r="CZ54" s="242" t="inlineStr">
        <is>
          <t>-0,48%</t>
        </is>
      </c>
      <c r="DA54" s="243" t="inlineStr">
        <is>
          <t>10,40x</t>
        </is>
      </c>
      <c r="DB54" s="244" t="inlineStr">
        <is>
          <t>89</t>
        </is>
      </c>
      <c r="DC54" s="245" t="inlineStr">
        <is>
          <t>4,15x</t>
        </is>
      </c>
      <c r="DD54" s="246" t="inlineStr">
        <is>
          <t>74</t>
        </is>
      </c>
      <c r="DE54" s="247" t="inlineStr">
        <is>
          <t>2,78x</t>
        </is>
      </c>
      <c r="DF54" s="248" t="inlineStr">
        <is>
          <t>72</t>
        </is>
      </c>
      <c r="DG54" s="249" t="inlineStr">
        <is>
          <t>18,03x</t>
        </is>
      </c>
      <c r="DH54" s="250" t="inlineStr">
        <is>
          <t>92</t>
        </is>
      </c>
      <c r="DI54" s="251" t="inlineStr">
        <is>
          <t>0,80x</t>
        </is>
      </c>
      <c r="DJ54" s="252" t="inlineStr">
        <is>
          <t>47</t>
        </is>
      </c>
      <c r="DK54" s="253" t="inlineStr">
        <is>
          <t>7,50x</t>
        </is>
      </c>
      <c r="DL54" s="254" t="inlineStr">
        <is>
          <t>84</t>
        </is>
      </c>
      <c r="DM54" s="255" t="inlineStr">
        <is>
          <t>1.039</t>
        </is>
      </c>
      <c r="DN54" s="256" t="inlineStr">
        <is>
          <t>-38</t>
        </is>
      </c>
      <c r="DO54" s="257" t="inlineStr">
        <is>
          <t>-3,53%</t>
        </is>
      </c>
      <c r="DP54" s="258" t="inlineStr">
        <is>
          <t>635</t>
        </is>
      </c>
      <c r="DQ54" s="259" t="inlineStr">
        <is>
          <t>3</t>
        </is>
      </c>
      <c r="DR54" s="260" t="inlineStr">
        <is>
          <t>0,47%</t>
        </is>
      </c>
      <c r="DS54" s="261" t="inlineStr">
        <is>
          <t>650</t>
        </is>
      </c>
      <c r="DT54" s="262" t="inlineStr">
        <is>
          <t>-3</t>
        </is>
      </c>
      <c r="DU54" s="263" t="inlineStr">
        <is>
          <t>-0,46%</t>
        </is>
      </c>
      <c r="DV54" s="264" t="inlineStr">
        <is>
          <t>2.799</t>
        </is>
      </c>
      <c r="DW54" s="265" t="inlineStr">
        <is>
          <t>16</t>
        </is>
      </c>
      <c r="DX54" s="266" t="inlineStr">
        <is>
          <t>0,57%</t>
        </is>
      </c>
      <c r="DY54" s="267" t="inlineStr">
        <is>
          <t>PitchBook Research</t>
        </is>
      </c>
      <c r="DZ54" s="786">
        <f>HYPERLINK("https://my.pitchbook.com?c=120009-16", "View company online")</f>
      </c>
    </row>
    <row r="55">
      <c r="A55" s="9" t="inlineStr">
        <is>
          <t>113222-98</t>
        </is>
      </c>
      <c r="B55" s="10" t="inlineStr">
        <is>
          <t>MessageBird</t>
        </is>
      </c>
      <c r="C55" s="11" t="inlineStr">
        <is>
          <t/>
        </is>
      </c>
      <c r="D55" s="12" t="inlineStr">
        <is>
          <t/>
        </is>
      </c>
      <c r="E55" s="13" t="inlineStr">
        <is>
          <t>113222-98</t>
        </is>
      </c>
      <c r="F55" s="14" t="inlineStr">
        <is>
          <t>Developer of communication APIs designed to connect companies with their customers on billions of devices around the world. The company's communication APIs specialize in developing a global messaging application programming interface for sending bulk SMS, two way SMS, voice and chat messages, enabling clients to revolutionize company-customer interactions and making contact easier, more efficient and accessible.</t>
        </is>
      </c>
      <c r="G55" s="15" t="inlineStr">
        <is>
          <t>Information Technology</t>
        </is>
      </c>
      <c r="H55" s="16" t="inlineStr">
        <is>
          <t>Software</t>
        </is>
      </c>
      <c r="I55" s="17" t="inlineStr">
        <is>
          <t>Communication Software</t>
        </is>
      </c>
      <c r="J55" s="18" t="inlineStr">
        <is>
          <t>Communication Software*; Application Software</t>
        </is>
      </c>
      <c r="K55" s="19" t="inlineStr">
        <is>
          <t>Mobile</t>
        </is>
      </c>
      <c r="L55" s="20" t="inlineStr">
        <is>
          <t>Venture Capital-Backed</t>
        </is>
      </c>
      <c r="M55" s="21" t="n">
        <v>52.84</v>
      </c>
      <c r="N55" s="22" t="inlineStr">
        <is>
          <t>Profitable</t>
        </is>
      </c>
      <c r="O55" s="23" t="inlineStr">
        <is>
          <t>Privately Held (backing)</t>
        </is>
      </c>
      <c r="P55" s="24" t="inlineStr">
        <is>
          <t>Venture Capital</t>
        </is>
      </c>
      <c r="Q55" s="25" t="inlineStr">
        <is>
          <t>www.messagebird.com</t>
        </is>
      </c>
      <c r="R55" s="26" t="n">
        <v>75.0</v>
      </c>
      <c r="S55" s="27" t="inlineStr">
        <is>
          <t/>
        </is>
      </c>
      <c r="T55" s="28" t="inlineStr">
        <is>
          <t/>
        </is>
      </c>
      <c r="U55" s="29" t="n">
        <v>2011.0</v>
      </c>
      <c r="V55" s="30" t="inlineStr">
        <is>
          <t/>
        </is>
      </c>
      <c r="W55" s="31" t="inlineStr">
        <is>
          <t/>
        </is>
      </c>
      <c r="X55" s="32" t="inlineStr">
        <is>
          <t/>
        </is>
      </c>
      <c r="Y55" s="33" t="n">
        <v>85.045</v>
      </c>
      <c r="Z55" s="34" t="inlineStr">
        <is>
          <t/>
        </is>
      </c>
      <c r="AA55" s="35" t="inlineStr">
        <is>
          <t/>
        </is>
      </c>
      <c r="AB55" s="36" t="inlineStr">
        <is>
          <t/>
        </is>
      </c>
      <c r="AC55" s="37" t="inlineStr">
        <is>
          <t/>
        </is>
      </c>
      <c r="AD55" s="38" t="inlineStr">
        <is>
          <t>FY 2017</t>
        </is>
      </c>
      <c r="AE55" s="39" t="inlineStr">
        <is>
          <t>133154-11P</t>
        </is>
      </c>
      <c r="AF55" s="40" t="inlineStr">
        <is>
          <t>Robert Vis</t>
        </is>
      </c>
      <c r="AG55" s="41" t="inlineStr">
        <is>
          <t>Co-Founder &amp; Chief Executive Officer</t>
        </is>
      </c>
      <c r="AH55" s="42" t="inlineStr">
        <is>
          <t>robert.vis@messagebird.com</t>
        </is>
      </c>
      <c r="AI55" s="43" t="inlineStr">
        <is>
          <t>+44 (0)20 3695 3251</t>
        </is>
      </c>
      <c r="AJ55" s="44" t="inlineStr">
        <is>
          <t>Amsterdam, Netherlands</t>
        </is>
      </c>
      <c r="AK55" s="45" t="inlineStr">
        <is>
          <t>Baarsjesweg 285</t>
        </is>
      </c>
      <c r="AL55" s="46" t="inlineStr">
        <is>
          <t/>
        </is>
      </c>
      <c r="AM55" s="47" t="inlineStr">
        <is>
          <t>Amsterdam</t>
        </is>
      </c>
      <c r="AN55" s="48" t="inlineStr">
        <is>
          <t/>
        </is>
      </c>
      <c r="AO55" s="49" t="inlineStr">
        <is>
          <t>1058 AE</t>
        </is>
      </c>
      <c r="AP55" s="50" t="inlineStr">
        <is>
          <t>Netherlands</t>
        </is>
      </c>
      <c r="AQ55" s="51" t="inlineStr">
        <is>
          <t/>
        </is>
      </c>
      <c r="AR55" s="52" t="inlineStr">
        <is>
          <t/>
        </is>
      </c>
      <c r="AS55" s="53" t="inlineStr">
        <is>
          <t>hello@messagebird.com</t>
        </is>
      </c>
      <c r="AT55" s="54" t="inlineStr">
        <is>
          <t>Europe</t>
        </is>
      </c>
      <c r="AU55" s="55" t="inlineStr">
        <is>
          <t>Western Europe</t>
        </is>
      </c>
      <c r="AV55" s="56" t="inlineStr">
        <is>
          <t>The company raised $62 million of Series A venture funding in a deal led by Accel on October 3, 2017. Atomico and Y Combinator also participated in the round. The funds will be used to hire staff, beef up marketing efforts and make acquisitions, global brand awareness and strengthen the balance sheet and launch a voice-API. Previously, the company graduated from Y Combinator as a part of its Summer 16 class and received $120,000 in funding on August 22, 2016.</t>
        </is>
      </c>
      <c r="AW55" s="57" t="inlineStr">
        <is>
          <t>Accel, Atomico, Y Combinator</t>
        </is>
      </c>
      <c r="AX55" s="58" t="n">
        <v>3.0</v>
      </c>
      <c r="AY55" s="59" t="inlineStr">
        <is>
          <t/>
        </is>
      </c>
      <c r="AZ55" s="60" t="inlineStr">
        <is>
          <t/>
        </is>
      </c>
      <c r="BA55" s="61" t="inlineStr">
        <is>
          <t/>
        </is>
      </c>
      <c r="BB55" s="62" t="inlineStr">
        <is>
          <t>Accel (www.accel.com), Atomico (www.atomico.com), Y Combinator (www.ycombinator.com)</t>
        </is>
      </c>
      <c r="BC55" s="63" t="inlineStr">
        <is>
          <t/>
        </is>
      </c>
      <c r="BD55" s="64" t="inlineStr">
        <is>
          <t/>
        </is>
      </c>
      <c r="BE55" s="65" t="inlineStr">
        <is>
          <t/>
        </is>
      </c>
      <c r="BF55" s="66" t="inlineStr">
        <is>
          <t/>
        </is>
      </c>
      <c r="BG55" s="67" t="n">
        <v>42604.0</v>
      </c>
      <c r="BH55" s="68" t="n">
        <v>0.11</v>
      </c>
      <c r="BI55" s="69" t="inlineStr">
        <is>
          <t>Actual</t>
        </is>
      </c>
      <c r="BJ55" s="70" t="n">
        <v>1.53</v>
      </c>
      <c r="BK55" s="71" t="inlineStr">
        <is>
          <t>Actual</t>
        </is>
      </c>
      <c r="BL55" s="72" t="inlineStr">
        <is>
          <t>Accelerator/Incubator</t>
        </is>
      </c>
      <c r="BM55" s="73" t="inlineStr">
        <is>
          <t/>
        </is>
      </c>
      <c r="BN55" s="74" t="inlineStr">
        <is>
          <t/>
        </is>
      </c>
      <c r="BO55" s="75" t="inlineStr">
        <is>
          <t>Other</t>
        </is>
      </c>
      <c r="BP55" s="76" t="inlineStr">
        <is>
          <t/>
        </is>
      </c>
      <c r="BQ55" s="77" t="inlineStr">
        <is>
          <t/>
        </is>
      </c>
      <c r="BR55" s="78" t="inlineStr">
        <is>
          <t/>
        </is>
      </c>
      <c r="BS55" s="79" t="inlineStr">
        <is>
          <t>Completed</t>
        </is>
      </c>
      <c r="BT55" s="80" t="n">
        <v>43011.0</v>
      </c>
      <c r="BU55" s="81" t="n">
        <v>52.73</v>
      </c>
      <c r="BV55" s="82" t="inlineStr">
        <is>
          <t>Actual</t>
        </is>
      </c>
      <c r="BW55" s="83" t="inlineStr">
        <is>
          <t/>
        </is>
      </c>
      <c r="BX55" s="84" t="inlineStr">
        <is>
          <t/>
        </is>
      </c>
      <c r="BY55" s="85" t="inlineStr">
        <is>
          <t>Later Stage VC</t>
        </is>
      </c>
      <c r="BZ55" s="86" t="inlineStr">
        <is>
          <t>Series A</t>
        </is>
      </c>
      <c r="CA55" s="87" t="inlineStr">
        <is>
          <t/>
        </is>
      </c>
      <c r="CB55" s="88" t="inlineStr">
        <is>
          <t>Venture Capital</t>
        </is>
      </c>
      <c r="CC55" s="89" t="inlineStr">
        <is>
          <t/>
        </is>
      </c>
      <c r="CD55" s="90" t="inlineStr">
        <is>
          <t/>
        </is>
      </c>
      <c r="CE55" s="91" t="inlineStr">
        <is>
          <t/>
        </is>
      </c>
      <c r="CF55" s="92" t="inlineStr">
        <is>
          <t>Completed</t>
        </is>
      </c>
      <c r="CG55" s="93" t="inlineStr">
        <is>
          <t>1,72%</t>
        </is>
      </c>
      <c r="CH55" s="94" t="inlineStr">
        <is>
          <t>97</t>
        </is>
      </c>
      <c r="CI55" s="95" t="inlineStr">
        <is>
          <t>-0,07%</t>
        </is>
      </c>
      <c r="CJ55" s="96" t="inlineStr">
        <is>
          <t>-3,67%</t>
        </is>
      </c>
      <c r="CK55" s="97" t="inlineStr">
        <is>
          <t>-1,46%</t>
        </is>
      </c>
      <c r="CL55" s="98" t="inlineStr">
        <is>
          <t>17</t>
        </is>
      </c>
      <c r="CM55" s="99" t="inlineStr">
        <is>
          <t>5,57%</t>
        </is>
      </c>
      <c r="CN55" s="100" t="inlineStr">
        <is>
          <t>100</t>
        </is>
      </c>
      <c r="CO55" s="101" t="inlineStr">
        <is>
          <t>-3,05%</t>
        </is>
      </c>
      <c r="CP55" s="102" t="inlineStr">
        <is>
          <t>26</t>
        </is>
      </c>
      <c r="CQ55" s="103" t="inlineStr">
        <is>
          <t>0,13%</t>
        </is>
      </c>
      <c r="CR55" s="104" t="inlineStr">
        <is>
          <t>90</t>
        </is>
      </c>
      <c r="CS55" s="105" t="inlineStr">
        <is>
          <t>9,99%</t>
        </is>
      </c>
      <c r="CT55" s="106" t="inlineStr">
        <is>
          <t>100</t>
        </is>
      </c>
      <c r="CU55" s="107" t="inlineStr">
        <is>
          <t>1,16%</t>
        </is>
      </c>
      <c r="CV55" s="108" t="inlineStr">
        <is>
          <t>97</t>
        </is>
      </c>
      <c r="CW55" s="109" t="inlineStr">
        <is>
          <t>13,45x</t>
        </is>
      </c>
      <c r="CX55" s="110" t="inlineStr">
        <is>
          <t>90</t>
        </is>
      </c>
      <c r="CY55" s="111" t="inlineStr">
        <is>
          <t>-0,29x</t>
        </is>
      </c>
      <c r="CZ55" s="112" t="inlineStr">
        <is>
          <t>-2,11%</t>
        </is>
      </c>
      <c r="DA55" s="113" t="inlineStr">
        <is>
          <t>37,15x</t>
        </is>
      </c>
      <c r="DB55" s="114" t="inlineStr">
        <is>
          <t>97</t>
        </is>
      </c>
      <c r="DC55" s="115" t="inlineStr">
        <is>
          <t>2,93x</t>
        </is>
      </c>
      <c r="DD55" s="116" t="inlineStr">
        <is>
          <t>68</t>
        </is>
      </c>
      <c r="DE55" s="117" t="inlineStr">
        <is>
          <t>32,61x</t>
        </is>
      </c>
      <c r="DF55" s="118" t="inlineStr">
        <is>
          <t>95</t>
        </is>
      </c>
      <c r="DG55" s="119" t="inlineStr">
        <is>
          <t>41,69x</t>
        </is>
      </c>
      <c r="DH55" s="120" t="inlineStr">
        <is>
          <t>97</t>
        </is>
      </c>
      <c r="DI55" s="121" t="inlineStr">
        <is>
          <t>0,97x</t>
        </is>
      </c>
      <c r="DJ55" s="122" t="inlineStr">
        <is>
          <t>50</t>
        </is>
      </c>
      <c r="DK55" s="123" t="inlineStr">
        <is>
          <t>4,89x</t>
        </is>
      </c>
      <c r="DL55" s="124" t="inlineStr">
        <is>
          <t>79</t>
        </is>
      </c>
      <c r="DM55" s="125" t="inlineStr">
        <is>
          <t>11.776</t>
        </is>
      </c>
      <c r="DN55" s="126" t="inlineStr">
        <is>
          <t>1.610</t>
        </is>
      </c>
      <c r="DO55" s="127" t="inlineStr">
        <is>
          <t>15,84%</t>
        </is>
      </c>
      <c r="DP55" s="128" t="inlineStr">
        <is>
          <t>764</t>
        </is>
      </c>
      <c r="DQ55" s="129" t="inlineStr">
        <is>
          <t>8</t>
        </is>
      </c>
      <c r="DR55" s="130" t="inlineStr">
        <is>
          <t>1,06%</t>
        </is>
      </c>
      <c r="DS55" s="131" t="inlineStr">
        <is>
          <t>1.527</t>
        </is>
      </c>
      <c r="DT55" s="132" t="inlineStr">
        <is>
          <t>-32</t>
        </is>
      </c>
      <c r="DU55" s="133" t="inlineStr">
        <is>
          <t>-2,05%</t>
        </is>
      </c>
      <c r="DV55" s="134" t="inlineStr">
        <is>
          <t>1.827</t>
        </is>
      </c>
      <c r="DW55" s="135" t="inlineStr">
        <is>
          <t>0</t>
        </is>
      </c>
      <c r="DX55" s="136" t="inlineStr">
        <is>
          <t>0,00%</t>
        </is>
      </c>
      <c r="DY55" s="137" t="inlineStr">
        <is>
          <t>PitchBook Research</t>
        </is>
      </c>
      <c r="DZ55" s="785">
        <f>HYPERLINK("https://my.pitchbook.com?c=113222-98", "View company online")</f>
      </c>
    </row>
    <row r="56">
      <c r="A56" s="139" t="inlineStr">
        <is>
          <t>113914-99</t>
        </is>
      </c>
      <c r="B56" s="140" t="inlineStr">
        <is>
          <t>Drayson Technologies</t>
        </is>
      </c>
      <c r="C56" s="141" t="inlineStr">
        <is>
          <t/>
        </is>
      </c>
      <c r="D56" s="142" t="inlineStr">
        <is>
          <t/>
        </is>
      </c>
      <c r="E56" s="143" t="inlineStr">
        <is>
          <t>113914-99</t>
        </is>
      </c>
      <c r="F56" s="144" t="inlineStr">
        <is>
          <t>Developer of an Internet of Things platform designed to deliver tangible business value for customers. The company's application to monitor air pollution and engages in the development of wireless applications to charge low-consumption devices through radio frequency signals, enabling customers to get energy-efficient and cost-effective IoT data collection and analysis and reduce the cost of deploying, owning and running IoT networks.</t>
        </is>
      </c>
      <c r="G56" s="145" t="inlineStr">
        <is>
          <t>Information Technology</t>
        </is>
      </c>
      <c r="H56" s="146" t="inlineStr">
        <is>
          <t>Software</t>
        </is>
      </c>
      <c r="I56" s="147" t="inlineStr">
        <is>
          <t>Application Software</t>
        </is>
      </c>
      <c r="J56" s="148" t="inlineStr">
        <is>
          <t>Application Software*; Social/Platform Software</t>
        </is>
      </c>
      <c r="K56" s="149" t="inlineStr">
        <is>
          <t>CleanTech, Internet of Things</t>
        </is>
      </c>
      <c r="L56" s="150" t="inlineStr">
        <is>
          <t>Venture Capital-Backed</t>
        </is>
      </c>
      <c r="M56" s="151" t="n">
        <v>51.87</v>
      </c>
      <c r="N56" s="152" t="inlineStr">
        <is>
          <t>Generating Revenue</t>
        </is>
      </c>
      <c r="O56" s="153" t="inlineStr">
        <is>
          <t>Privately Held (backing)</t>
        </is>
      </c>
      <c r="P56" s="154" t="inlineStr">
        <is>
          <t>Venture Capital</t>
        </is>
      </c>
      <c r="Q56" s="155" t="inlineStr">
        <is>
          <t>www.draysontechnologies.com</t>
        </is>
      </c>
      <c r="R56" s="156" t="n">
        <v>45.0</v>
      </c>
      <c r="S56" s="157" t="inlineStr">
        <is>
          <t/>
        </is>
      </c>
      <c r="T56" s="158" t="inlineStr">
        <is>
          <t/>
        </is>
      </c>
      <c r="U56" s="159" t="n">
        <v>2014.0</v>
      </c>
      <c r="V56" s="160" t="inlineStr">
        <is>
          <t/>
        </is>
      </c>
      <c r="W56" s="161" t="inlineStr">
        <is>
          <t/>
        </is>
      </c>
      <c r="X56" s="162" t="inlineStr">
        <is>
          <r>
            <rPr>
              <b/>
              <color rgb="ff26854d"/>
              <rFont val="Arial"/>
              <sz val="8.0"/>
            </rPr>
            <t>News</t>
          </r>
          <r>
            <rPr>
              <color rgb="ff707070"/>
              <rFont val="Arial"/>
              <sz val="7.0"/>
            </rPr>
            <t xml:space="preserve"> NEW  </t>
          </r>
        </is>
      </c>
      <c r="Y56" s="163" t="n">
        <v>0.21172</v>
      </c>
      <c r="Z56" s="164" t="n">
        <v>0.08822</v>
      </c>
      <c r="AA56" s="165" t="n">
        <v>-17.44903</v>
      </c>
      <c r="AB56" s="166" t="inlineStr">
        <is>
          <t/>
        </is>
      </c>
      <c r="AC56" s="167" t="n">
        <v>-16.52276</v>
      </c>
      <c r="AD56" s="168" t="inlineStr">
        <is>
          <t>FY 2016</t>
        </is>
      </c>
      <c r="AE56" s="169" t="inlineStr">
        <is>
          <t>135033-31P</t>
        </is>
      </c>
      <c r="AF56" s="170" t="inlineStr">
        <is>
          <t>Lorimer Headley</t>
        </is>
      </c>
      <c r="AG56" s="171" t="inlineStr">
        <is>
          <t>Board Member &amp; Chief Financial Officer</t>
        </is>
      </c>
      <c r="AH56" s="172" t="inlineStr">
        <is>
          <t/>
        </is>
      </c>
      <c r="AI56" s="173" t="inlineStr">
        <is>
          <t>+44 (0)20 3176 2350</t>
        </is>
      </c>
      <c r="AJ56" s="174" t="inlineStr">
        <is>
          <t>London, United Kingdom</t>
        </is>
      </c>
      <c r="AK56" s="175" t="inlineStr">
        <is>
          <t>Grand Union Studios</t>
        </is>
      </c>
      <c r="AL56" s="176" t="inlineStr">
        <is>
          <t>332 Ladbroke Grove</t>
        </is>
      </c>
      <c r="AM56" s="177" t="inlineStr">
        <is>
          <t>London</t>
        </is>
      </c>
      <c r="AN56" s="178" t="inlineStr">
        <is>
          <t>England</t>
        </is>
      </c>
      <c r="AO56" s="179" t="inlineStr">
        <is>
          <t>W10 5AD</t>
        </is>
      </c>
      <c r="AP56" s="180" t="inlineStr">
        <is>
          <t>United Kingdom</t>
        </is>
      </c>
      <c r="AQ56" s="181" t="inlineStr">
        <is>
          <t>+44 (0)20 3176 2350</t>
        </is>
      </c>
      <c r="AR56" s="182" t="inlineStr">
        <is>
          <t/>
        </is>
      </c>
      <c r="AS56" s="183" t="inlineStr">
        <is>
          <t>info@draysontechnologies.com</t>
        </is>
      </c>
      <c r="AT56" s="184" t="inlineStr">
        <is>
          <t>Europe</t>
        </is>
      </c>
      <c r="AU56" s="185" t="inlineStr">
        <is>
          <t>Western Europe</t>
        </is>
      </c>
      <c r="AV56" s="186" t="inlineStr">
        <is>
          <t>The company raised an additional GBP 660,000 of Series C venture funding from undisclosed investors on October 10, 2017, putting the pre-money valuation at GBP 124.18 million.</t>
        </is>
      </c>
      <c r="AW56" s="187" t="inlineStr">
        <is>
          <t>Capital Invent, Lansdowne Partners, Plug and Play Tech Center, Woodford Investment Management</t>
        </is>
      </c>
      <c r="AX56" s="188" t="n">
        <v>4.0</v>
      </c>
      <c r="AY56" s="189" t="inlineStr">
        <is>
          <t/>
        </is>
      </c>
      <c r="AZ56" s="190" t="inlineStr">
        <is>
          <t/>
        </is>
      </c>
      <c r="BA56" s="191" t="inlineStr">
        <is>
          <t/>
        </is>
      </c>
      <c r="BB56" s="192" t="inlineStr">
        <is>
          <t>Capital Invent (www.capitalimx.com), Lansdowne Partners (www.lansdownepartners.com), Plug and Play Tech Center (www.plugandplaytechcenter.com), Woodford Investment Management (woodfordfunds.com)</t>
        </is>
      </c>
      <c r="BC56" s="193" t="inlineStr">
        <is>
          <t/>
        </is>
      </c>
      <c r="BD56" s="194" t="inlineStr">
        <is>
          <t/>
        </is>
      </c>
      <c r="BE56" s="195" t="inlineStr">
        <is>
          <t>PwC (Auditor)</t>
        </is>
      </c>
      <c r="BF56" s="196" t="inlineStr">
        <is>
          <t/>
        </is>
      </c>
      <c r="BG56" s="197" t="n">
        <v>42186.0</v>
      </c>
      <c r="BH56" s="198" t="n">
        <v>25.44</v>
      </c>
      <c r="BI56" s="199" t="inlineStr">
        <is>
          <t>Actual</t>
        </is>
      </c>
      <c r="BJ56" s="200" t="n">
        <v>107.59</v>
      </c>
      <c r="BK56" s="201" t="inlineStr">
        <is>
          <t>Actual</t>
        </is>
      </c>
      <c r="BL56" s="202" t="inlineStr">
        <is>
          <t>Later Stage VC</t>
        </is>
      </c>
      <c r="BM56" s="203" t="inlineStr">
        <is>
          <t>Series B</t>
        </is>
      </c>
      <c r="BN56" s="204" t="inlineStr">
        <is>
          <t/>
        </is>
      </c>
      <c r="BO56" s="205" t="inlineStr">
        <is>
          <t>Venture Capital</t>
        </is>
      </c>
      <c r="BP56" s="206" t="inlineStr">
        <is>
          <t>Loan</t>
        </is>
      </c>
      <c r="BQ56" s="207" t="inlineStr">
        <is>
          <t/>
        </is>
      </c>
      <c r="BR56" s="208" t="inlineStr">
        <is>
          <t/>
        </is>
      </c>
      <c r="BS56" s="209" t="inlineStr">
        <is>
          <t>Completed</t>
        </is>
      </c>
      <c r="BT56" s="210" t="n">
        <v>43006.0</v>
      </c>
      <c r="BU56" s="211" t="inlineStr">
        <is>
          <t/>
        </is>
      </c>
      <c r="BV56" s="212" t="inlineStr">
        <is>
          <t/>
        </is>
      </c>
      <c r="BW56" s="213" t="inlineStr">
        <is>
          <t/>
        </is>
      </c>
      <c r="BX56" s="214" t="inlineStr">
        <is>
          <t/>
        </is>
      </c>
      <c r="BY56" s="215" t="inlineStr">
        <is>
          <t>Accelerator/Incubator</t>
        </is>
      </c>
      <c r="BZ56" s="216" t="inlineStr">
        <is>
          <t/>
        </is>
      </c>
      <c r="CA56" s="217" t="inlineStr">
        <is>
          <t/>
        </is>
      </c>
      <c r="CB56" s="218" t="inlineStr">
        <is>
          <t>Other</t>
        </is>
      </c>
      <c r="CC56" s="219" t="inlineStr">
        <is>
          <t/>
        </is>
      </c>
      <c r="CD56" s="220" t="inlineStr">
        <is>
          <t/>
        </is>
      </c>
      <c r="CE56" s="221" t="inlineStr">
        <is>
          <t/>
        </is>
      </c>
      <c r="CF56" s="222" t="inlineStr">
        <is>
          <t>Completed</t>
        </is>
      </c>
      <c r="CG56" s="223" t="inlineStr">
        <is>
          <t>-0,67%</t>
        </is>
      </c>
      <c r="CH56" s="224" t="inlineStr">
        <is>
          <t>17</t>
        </is>
      </c>
      <c r="CI56" s="225" t="inlineStr">
        <is>
          <t>-0,04%</t>
        </is>
      </c>
      <c r="CJ56" s="226" t="inlineStr">
        <is>
          <t>-5,83%</t>
        </is>
      </c>
      <c r="CK56" s="227" t="inlineStr">
        <is>
          <t>-1,98%</t>
        </is>
      </c>
      <c r="CL56" s="228" t="inlineStr">
        <is>
          <t>14</t>
        </is>
      </c>
      <c r="CM56" s="229" t="inlineStr">
        <is>
          <t>0,25%</t>
        </is>
      </c>
      <c r="CN56" s="230" t="inlineStr">
        <is>
          <t>76</t>
        </is>
      </c>
      <c r="CO56" s="231" t="inlineStr">
        <is>
          <t>-2,37%</t>
        </is>
      </c>
      <c r="CP56" s="232" t="inlineStr">
        <is>
          <t>29</t>
        </is>
      </c>
      <c r="CQ56" s="233" t="inlineStr">
        <is>
          <t>-1,59%</t>
        </is>
      </c>
      <c r="CR56" s="234" t="inlineStr">
        <is>
          <t>5</t>
        </is>
      </c>
      <c r="CS56" s="235" t="inlineStr">
        <is>
          <t>0,02%</t>
        </is>
      </c>
      <c r="CT56" s="236" t="inlineStr">
        <is>
          <t>43</t>
        </is>
      </c>
      <c r="CU56" s="237" t="inlineStr">
        <is>
          <t>0,47%</t>
        </is>
      </c>
      <c r="CV56" s="238" t="inlineStr">
        <is>
          <t>90</t>
        </is>
      </c>
      <c r="CW56" s="239" t="inlineStr">
        <is>
          <t>1,59x</t>
        </is>
      </c>
      <c r="CX56" s="240" t="inlineStr">
        <is>
          <t>60</t>
        </is>
      </c>
      <c r="CY56" s="241" t="inlineStr">
        <is>
          <t>-0,02x</t>
        </is>
      </c>
      <c r="CZ56" s="242" t="inlineStr">
        <is>
          <t>-1,39%</t>
        </is>
      </c>
      <c r="DA56" s="243" t="inlineStr">
        <is>
          <t>2,83x</t>
        </is>
      </c>
      <c r="DB56" s="244" t="inlineStr">
        <is>
          <t>73</t>
        </is>
      </c>
      <c r="DC56" s="245" t="inlineStr">
        <is>
          <t>1,79x</t>
        </is>
      </c>
      <c r="DD56" s="246" t="inlineStr">
        <is>
          <t>60</t>
        </is>
      </c>
      <c r="DE56" s="247" t="inlineStr">
        <is>
          <t>0,83x</t>
        </is>
      </c>
      <c r="DF56" s="248" t="inlineStr">
        <is>
          <t>46</t>
        </is>
      </c>
      <c r="DG56" s="249" t="inlineStr">
        <is>
          <t>4,83x</t>
        </is>
      </c>
      <c r="DH56" s="250" t="inlineStr">
        <is>
          <t>79</t>
        </is>
      </c>
      <c r="DI56" s="251" t="inlineStr">
        <is>
          <t>1,69x</t>
        </is>
      </c>
      <c r="DJ56" s="252" t="inlineStr">
        <is>
          <t>59</t>
        </is>
      </c>
      <c r="DK56" s="253" t="inlineStr">
        <is>
          <t>1,89x</t>
        </is>
      </c>
      <c r="DL56" s="254" t="inlineStr">
        <is>
          <t>63</t>
        </is>
      </c>
      <c r="DM56" s="255" t="inlineStr">
        <is>
          <t>308</t>
        </is>
      </c>
      <c r="DN56" s="256" t="inlineStr">
        <is>
          <t>2</t>
        </is>
      </c>
      <c r="DO56" s="257" t="inlineStr">
        <is>
          <t>0,65%</t>
        </is>
      </c>
      <c r="DP56" s="258" t="inlineStr">
        <is>
          <t>1.337</t>
        </is>
      </c>
      <c r="DQ56" s="259" t="inlineStr">
        <is>
          <t>0</t>
        </is>
      </c>
      <c r="DR56" s="260" t="inlineStr">
        <is>
          <t>0,00%</t>
        </is>
      </c>
      <c r="DS56" s="261" t="inlineStr">
        <is>
          <t>175</t>
        </is>
      </c>
      <c r="DT56" s="262" t="inlineStr">
        <is>
          <t>-4</t>
        </is>
      </c>
      <c r="DU56" s="263" t="inlineStr">
        <is>
          <t>-2,23%</t>
        </is>
      </c>
      <c r="DV56" s="264" t="inlineStr">
        <is>
          <t>705</t>
        </is>
      </c>
      <c r="DW56" s="265" t="inlineStr">
        <is>
          <t>2</t>
        </is>
      </c>
      <c r="DX56" s="266" t="inlineStr">
        <is>
          <t>0,28%</t>
        </is>
      </c>
      <c r="DY56" s="267" t="inlineStr">
        <is>
          <t>PitchBook Research</t>
        </is>
      </c>
      <c r="DZ56" s="786">
        <f>HYPERLINK("https://my.pitchbook.com?c=113914-99", "View company online")</f>
      </c>
    </row>
    <row r="57">
      <c r="A57" s="9" t="inlineStr">
        <is>
          <t>58017-43</t>
        </is>
      </c>
      <c r="B57" s="10" t="inlineStr">
        <is>
          <t>Open-Xchange</t>
        </is>
      </c>
      <c r="C57" s="11" t="inlineStr">
        <is>
          <t/>
        </is>
      </c>
      <c r="D57" s="12" t="inlineStr">
        <is>
          <t>OX</t>
        </is>
      </c>
      <c r="E57" s="13" t="inlineStr">
        <is>
          <t>58017-43</t>
        </is>
      </c>
      <c r="F57" s="14" t="inlineStr">
        <is>
          <t>Provider of an open source SaaS platform for messaging and collaboration intended to keep the digital landscape open, secure and transparent for all. The company's SaaS platform is used for communication, collaboration and office productivity, enabling hosting, service provider and telecommunications companies with the freedom to excel and to connect people via the internet, along with long term cost effectiveness.</t>
        </is>
      </c>
      <c r="G57" s="15" t="inlineStr">
        <is>
          <t>Information Technology</t>
        </is>
      </c>
      <c r="H57" s="16" t="inlineStr">
        <is>
          <t>Software</t>
        </is>
      </c>
      <c r="I57" s="17" t="inlineStr">
        <is>
          <t>Business/Productivity Software</t>
        </is>
      </c>
      <c r="J57" s="18" t="inlineStr">
        <is>
          <t>Business/Productivity Software*</t>
        </is>
      </c>
      <c r="K57" s="19" t="inlineStr">
        <is>
          <t>SaaS</t>
        </is>
      </c>
      <c r="L57" s="20" t="inlineStr">
        <is>
          <t>Venture Capital-Backed</t>
        </is>
      </c>
      <c r="M57" s="21" t="n">
        <v>50.93</v>
      </c>
      <c r="N57" s="22" t="inlineStr">
        <is>
          <t>Profitable</t>
        </is>
      </c>
      <c r="O57" s="23" t="inlineStr">
        <is>
          <t>Privately Held (backing)</t>
        </is>
      </c>
      <c r="P57" s="24" t="inlineStr">
        <is>
          <t>Venture Capital</t>
        </is>
      </c>
      <c r="Q57" s="25" t="inlineStr">
        <is>
          <t>www.open-xchange.com</t>
        </is>
      </c>
      <c r="R57" s="26" t="n">
        <v>250.0</v>
      </c>
      <c r="S57" s="27" t="inlineStr">
        <is>
          <t/>
        </is>
      </c>
      <c r="T57" s="28" t="inlineStr">
        <is>
          <t/>
        </is>
      </c>
      <c r="U57" s="29" t="n">
        <v>2005.0</v>
      </c>
      <c r="V57" s="30" t="inlineStr">
        <is>
          <t/>
        </is>
      </c>
      <c r="W57" s="31" t="inlineStr">
        <is>
          <t/>
        </is>
      </c>
      <c r="X57" s="32" t="inlineStr">
        <is>
          <t/>
        </is>
      </c>
      <c r="Y57" s="33" t="n">
        <v>17.73586</v>
      </c>
      <c r="Z57" s="34" t="inlineStr">
        <is>
          <t/>
        </is>
      </c>
      <c r="AA57" s="35" t="inlineStr">
        <is>
          <t/>
        </is>
      </c>
      <c r="AB57" s="36" t="inlineStr">
        <is>
          <t/>
        </is>
      </c>
      <c r="AC57" s="37" t="inlineStr">
        <is>
          <t/>
        </is>
      </c>
      <c r="AD57" s="38" t="inlineStr">
        <is>
          <t>FY 2014</t>
        </is>
      </c>
      <c r="AE57" s="39" t="inlineStr">
        <is>
          <t>49050-73P</t>
        </is>
      </c>
      <c r="AF57" s="40" t="inlineStr">
        <is>
          <t>Michael Knapstein</t>
        </is>
      </c>
      <c r="AG57" s="41" t="inlineStr">
        <is>
          <t>Chief Financial Officer</t>
        </is>
      </c>
      <c r="AH57" s="42" t="inlineStr">
        <is>
          <t>michael@open-xchange.com</t>
        </is>
      </c>
      <c r="AI57" s="43" t="inlineStr">
        <is>
          <t>+49 (0)27 6183 850</t>
        </is>
      </c>
      <c r="AJ57" s="44" t="inlineStr">
        <is>
          <t>Nuremberg, Germany</t>
        </is>
      </c>
      <c r="AK57" s="45" t="inlineStr">
        <is>
          <t>Rollnerstrasse 14</t>
        </is>
      </c>
      <c r="AL57" s="46" t="inlineStr">
        <is>
          <t/>
        </is>
      </c>
      <c r="AM57" s="47" t="inlineStr">
        <is>
          <t>Nuremberg</t>
        </is>
      </c>
      <c r="AN57" s="48" t="inlineStr">
        <is>
          <t/>
        </is>
      </c>
      <c r="AO57" s="49" t="inlineStr">
        <is>
          <t>90408</t>
        </is>
      </c>
      <c r="AP57" s="50" t="inlineStr">
        <is>
          <t>Germany</t>
        </is>
      </c>
      <c r="AQ57" s="51" t="inlineStr">
        <is>
          <t>+49 (0)27 6183 850</t>
        </is>
      </c>
      <c r="AR57" s="52" t="inlineStr">
        <is>
          <t>+49 (0)27 6183 8530</t>
        </is>
      </c>
      <c r="AS57" s="53" t="inlineStr">
        <is>
          <t>info@open-xchange.com</t>
        </is>
      </c>
      <c r="AT57" s="54" t="inlineStr">
        <is>
          <t>Europe</t>
        </is>
      </c>
      <c r="AU57" s="55" t="inlineStr">
        <is>
          <t>Western Europe</t>
        </is>
      </c>
      <c r="AV57" s="56" t="inlineStr">
        <is>
          <t>The company raised EUR 21 million of venture funding in a round led by eCAPITAL entrepreneurial Partners on October 11, 2017. Iris Capital Management and other undisclosed investors also participated in this round. The company intends to use the funds to further grow its talent base and business reach, by broadening its relationships with existing partners and gaining new customers, especially in the North-America, LATAM and APAC regions.</t>
        </is>
      </c>
      <c r="AW57" s="57" t="inlineStr">
        <is>
          <t>Bayerische Beteiligungsgesellschaft, BayTech Venture Capital, eCAPITAL entrepreneurial Partners, Iris Capital Management, United Internet</t>
        </is>
      </c>
      <c r="AX57" s="58" t="n">
        <v>5.0</v>
      </c>
      <c r="AY57" s="59" t="inlineStr">
        <is>
          <t/>
        </is>
      </c>
      <c r="AZ57" s="60" t="inlineStr">
        <is>
          <t/>
        </is>
      </c>
      <c r="BA57" s="61" t="inlineStr">
        <is>
          <t/>
        </is>
      </c>
      <c r="BB57" s="62" t="inlineStr">
        <is>
          <t>Bayerische Beteiligungsgesellschaft (www.baybg.de), BayTech Venture Capital (www.baytechventurecapital.de), eCAPITAL entrepreneurial Partners (www.ecapital.de), Iris Capital Management (www.iriscapital.com), United Internet (www.united-internet.com)</t>
        </is>
      </c>
      <c r="BC57" s="63" t="inlineStr">
        <is>
          <t/>
        </is>
      </c>
      <c r="BD57" s="64" t="inlineStr">
        <is>
          <t/>
        </is>
      </c>
      <c r="BE57" s="65" t="inlineStr">
        <is>
          <t/>
        </is>
      </c>
      <c r="BF57" s="66" t="inlineStr">
        <is>
          <t/>
        </is>
      </c>
      <c r="BG57" s="67" t="n">
        <v>38889.0</v>
      </c>
      <c r="BH57" s="68" t="n">
        <v>1.45</v>
      </c>
      <c r="BI57" s="69" t="inlineStr">
        <is>
          <t>Actual</t>
        </is>
      </c>
      <c r="BJ57" s="70" t="inlineStr">
        <is>
          <t/>
        </is>
      </c>
      <c r="BK57" s="71" t="inlineStr">
        <is>
          <t/>
        </is>
      </c>
      <c r="BL57" s="72" t="inlineStr">
        <is>
          <t>Later Stage VC</t>
        </is>
      </c>
      <c r="BM57" s="73" t="inlineStr">
        <is>
          <t/>
        </is>
      </c>
      <c r="BN57" s="74" t="inlineStr">
        <is>
          <t/>
        </is>
      </c>
      <c r="BO57" s="75" t="inlineStr">
        <is>
          <t>Venture Capital</t>
        </is>
      </c>
      <c r="BP57" s="76" t="inlineStr">
        <is>
          <t/>
        </is>
      </c>
      <c r="BQ57" s="77" t="inlineStr">
        <is>
          <t/>
        </is>
      </c>
      <c r="BR57" s="78" t="inlineStr">
        <is>
          <t/>
        </is>
      </c>
      <c r="BS57" s="79" t="inlineStr">
        <is>
          <t>Completed</t>
        </is>
      </c>
      <c r="BT57" s="80" t="n">
        <v>43019.0</v>
      </c>
      <c r="BU57" s="81" t="n">
        <v>21.0</v>
      </c>
      <c r="BV57" s="82" t="inlineStr">
        <is>
          <t>Actual</t>
        </is>
      </c>
      <c r="BW57" s="83" t="inlineStr">
        <is>
          <t/>
        </is>
      </c>
      <c r="BX57" s="84" t="inlineStr">
        <is>
          <t/>
        </is>
      </c>
      <c r="BY57" s="85" t="inlineStr">
        <is>
          <t>Later Stage VC</t>
        </is>
      </c>
      <c r="BZ57" s="86" t="inlineStr">
        <is>
          <t/>
        </is>
      </c>
      <c r="CA57" s="87" t="inlineStr">
        <is>
          <t/>
        </is>
      </c>
      <c r="CB57" s="88" t="inlineStr">
        <is>
          <t>Venture Capital</t>
        </is>
      </c>
      <c r="CC57" s="89" t="inlineStr">
        <is>
          <t/>
        </is>
      </c>
      <c r="CD57" s="90" t="inlineStr">
        <is>
          <t/>
        </is>
      </c>
      <c r="CE57" s="91" t="inlineStr">
        <is>
          <t/>
        </is>
      </c>
      <c r="CF57" s="92" t="inlineStr">
        <is>
          <t>Completed</t>
        </is>
      </c>
      <c r="CG57" s="93" t="inlineStr">
        <is>
          <t>-1,05%</t>
        </is>
      </c>
      <c r="CH57" s="94" t="inlineStr">
        <is>
          <t>14</t>
        </is>
      </c>
      <c r="CI57" s="95" t="inlineStr">
        <is>
          <t>0,01%</t>
        </is>
      </c>
      <c r="CJ57" s="96" t="inlineStr">
        <is>
          <t>1,26%</t>
        </is>
      </c>
      <c r="CK57" s="97" t="inlineStr">
        <is>
          <t>-6,64%</t>
        </is>
      </c>
      <c r="CL57" s="98" t="inlineStr">
        <is>
          <t>6</t>
        </is>
      </c>
      <c r="CM57" s="99" t="inlineStr">
        <is>
          <t>0,15%</t>
        </is>
      </c>
      <c r="CN57" s="100" t="inlineStr">
        <is>
          <t>66</t>
        </is>
      </c>
      <c r="CO57" s="101" t="inlineStr">
        <is>
          <t>-13,54%</t>
        </is>
      </c>
      <c r="CP57" s="102" t="inlineStr">
        <is>
          <t>9</t>
        </is>
      </c>
      <c r="CQ57" s="103" t="inlineStr">
        <is>
          <t>0,26%</t>
        </is>
      </c>
      <c r="CR57" s="104" t="inlineStr">
        <is>
          <t>91</t>
        </is>
      </c>
      <c r="CS57" s="105" t="inlineStr">
        <is>
          <t>0,24%</t>
        </is>
      </c>
      <c r="CT57" s="106" t="inlineStr">
        <is>
          <t>73</t>
        </is>
      </c>
      <c r="CU57" s="107" t="inlineStr">
        <is>
          <t>0,06%</t>
        </is>
      </c>
      <c r="CV57" s="108" t="inlineStr">
        <is>
          <t>60</t>
        </is>
      </c>
      <c r="CW57" s="109" t="inlineStr">
        <is>
          <t>12,40x</t>
        </is>
      </c>
      <c r="CX57" s="110" t="inlineStr">
        <is>
          <t>90</t>
        </is>
      </c>
      <c r="CY57" s="111" t="inlineStr">
        <is>
          <t>0,01x</t>
        </is>
      </c>
      <c r="CZ57" s="112" t="inlineStr">
        <is>
          <t>0,10%</t>
        </is>
      </c>
      <c r="DA57" s="113" t="inlineStr">
        <is>
          <t>41,91x</t>
        </is>
      </c>
      <c r="DB57" s="114" t="inlineStr">
        <is>
          <t>97</t>
        </is>
      </c>
      <c r="DC57" s="115" t="inlineStr">
        <is>
          <t>6,66x</t>
        </is>
      </c>
      <c r="DD57" s="116" t="inlineStr">
        <is>
          <t>80</t>
        </is>
      </c>
      <c r="DE57" s="117" t="inlineStr">
        <is>
          <t>6,31x</t>
        </is>
      </c>
      <c r="DF57" s="118" t="inlineStr">
        <is>
          <t>83</t>
        </is>
      </c>
      <c r="DG57" s="119" t="inlineStr">
        <is>
          <t>77,50x</t>
        </is>
      </c>
      <c r="DH57" s="120" t="inlineStr">
        <is>
          <t>98</t>
        </is>
      </c>
      <c r="DI57" s="121" t="inlineStr">
        <is>
          <t>1,56x</t>
        </is>
      </c>
      <c r="DJ57" s="122" t="inlineStr">
        <is>
          <t>58</t>
        </is>
      </c>
      <c r="DK57" s="123" t="inlineStr">
        <is>
          <t>11,77x</t>
        </is>
      </c>
      <c r="DL57" s="124" t="inlineStr">
        <is>
          <t>88</t>
        </is>
      </c>
      <c r="DM57" s="125" t="inlineStr">
        <is>
          <t>2.310</t>
        </is>
      </c>
      <c r="DN57" s="126" t="inlineStr">
        <is>
          <t>160</t>
        </is>
      </c>
      <c r="DO57" s="127" t="inlineStr">
        <is>
          <t>7,44%</t>
        </is>
      </c>
      <c r="DP57" s="128" t="inlineStr">
        <is>
          <t>1.232</t>
        </is>
      </c>
      <c r="DQ57" s="129" t="inlineStr">
        <is>
          <t>2</t>
        </is>
      </c>
      <c r="DR57" s="130" t="inlineStr">
        <is>
          <t>0,16%</t>
        </is>
      </c>
      <c r="DS57" s="131" t="inlineStr">
        <is>
          <t>2.786</t>
        </is>
      </c>
      <c r="DT57" s="132" t="inlineStr">
        <is>
          <t>9</t>
        </is>
      </c>
      <c r="DU57" s="133" t="inlineStr">
        <is>
          <t>0,32%</t>
        </is>
      </c>
      <c r="DV57" s="134" t="inlineStr">
        <is>
          <t>4.405</t>
        </is>
      </c>
      <c r="DW57" s="135" t="inlineStr">
        <is>
          <t>-4</t>
        </is>
      </c>
      <c r="DX57" s="136" t="inlineStr">
        <is>
          <t>-0,09%</t>
        </is>
      </c>
      <c r="DY57" s="137" t="inlineStr">
        <is>
          <t>PitchBook Research</t>
        </is>
      </c>
      <c r="DZ57" s="785">
        <f>HYPERLINK("https://my.pitchbook.com?c=58017-43", "View company online")</f>
      </c>
    </row>
    <row r="58">
      <c r="A58" s="139" t="inlineStr">
        <is>
          <t>107489-98</t>
        </is>
      </c>
      <c r="B58" s="140" t="inlineStr">
        <is>
          <t>Thermondo</t>
        </is>
      </c>
      <c r="C58" s="141" t="inlineStr">
        <is>
          <t>Future Watt</t>
        </is>
      </c>
      <c r="D58" s="142" t="inlineStr">
        <is>
          <t/>
        </is>
      </c>
      <c r="E58" s="143" t="inlineStr">
        <is>
          <t>107489-98</t>
        </is>
      </c>
      <c r="F58" s="144" t="inlineStr">
        <is>
          <t>Provider of an online-driven heating installer designed to reduce energy costs. The company's heating installer digitizes the process of the HVAC exchange from lead generation, sales, installation to after-sales, enabling consumers to compare and buy home heating systems.</t>
        </is>
      </c>
      <c r="G58" s="145" t="inlineStr">
        <is>
          <t>Business Products and Services (B2B)</t>
        </is>
      </c>
      <c r="H58" s="146" t="inlineStr">
        <is>
          <t>Other Business Products and Services</t>
        </is>
      </c>
      <c r="I58" s="147" t="inlineStr">
        <is>
          <t>Other Business Products and Services</t>
        </is>
      </c>
      <c r="J58" s="148" t="inlineStr">
        <is>
          <t>Other Business Products and Services*; Other Energy Services; Other Software</t>
        </is>
      </c>
      <c r="K58" s="149" t="inlineStr">
        <is>
          <t>CleanTech</t>
        </is>
      </c>
      <c r="L58" s="150" t="inlineStr">
        <is>
          <t>Venture Capital-Backed</t>
        </is>
      </c>
      <c r="M58" s="151" t="n">
        <v>50.5</v>
      </c>
      <c r="N58" s="152" t="inlineStr">
        <is>
          <t>Generating Revenue/Not Profitable</t>
        </is>
      </c>
      <c r="O58" s="153" t="inlineStr">
        <is>
          <t>Privately Held (backing)</t>
        </is>
      </c>
      <c r="P58" s="154" t="inlineStr">
        <is>
          <t>Venture Capital</t>
        </is>
      </c>
      <c r="Q58" s="155" t="inlineStr">
        <is>
          <t>www.thermondo.de</t>
        </is>
      </c>
      <c r="R58" s="156" t="n">
        <v>325.0</v>
      </c>
      <c r="S58" s="157" t="inlineStr">
        <is>
          <t/>
        </is>
      </c>
      <c r="T58" s="158" t="inlineStr">
        <is>
          <t/>
        </is>
      </c>
      <c r="U58" s="159" t="n">
        <v>2012.0</v>
      </c>
      <c r="V58" s="160" t="inlineStr">
        <is>
          <t/>
        </is>
      </c>
      <c r="W58" s="161" t="inlineStr">
        <is>
          <t/>
        </is>
      </c>
      <c r="X58" s="162" t="inlineStr">
        <is>
          <t/>
        </is>
      </c>
      <c r="Y58" s="163" t="inlineStr">
        <is>
          <t/>
        </is>
      </c>
      <c r="Z58" s="164" t="inlineStr">
        <is>
          <t/>
        </is>
      </c>
      <c r="AA58" s="165" t="n">
        <v>-5.87987</v>
      </c>
      <c r="AB58" s="166" t="inlineStr">
        <is>
          <t/>
        </is>
      </c>
      <c r="AC58" s="167" t="inlineStr">
        <is>
          <t/>
        </is>
      </c>
      <c r="AD58" s="168" t="inlineStr">
        <is>
          <t>FY 2015</t>
        </is>
      </c>
      <c r="AE58" s="169" t="inlineStr">
        <is>
          <t>91692-73P</t>
        </is>
      </c>
      <c r="AF58" s="170" t="inlineStr">
        <is>
          <t>Philipp Pausder</t>
        </is>
      </c>
      <c r="AG58" s="171" t="inlineStr">
        <is>
          <t>Co-Founder, Managing Director &amp; Board Member</t>
        </is>
      </c>
      <c r="AH58" s="172" t="inlineStr">
        <is>
          <t>philipp.pausder@thermondo.de</t>
        </is>
      </c>
      <c r="AI58" s="173" t="inlineStr">
        <is>
          <t>+49 (0)80 0420 0300</t>
        </is>
      </c>
      <c r="AJ58" s="174" t="inlineStr">
        <is>
          <t>Berlin, Germany</t>
        </is>
      </c>
      <c r="AK58" s="175" t="inlineStr">
        <is>
          <t>Brunnenstraße 153</t>
        </is>
      </c>
      <c r="AL58" s="176" t="inlineStr">
        <is>
          <t/>
        </is>
      </c>
      <c r="AM58" s="177" t="inlineStr">
        <is>
          <t>Berlin</t>
        </is>
      </c>
      <c r="AN58" s="178" t="inlineStr">
        <is>
          <t/>
        </is>
      </c>
      <c r="AO58" s="179" t="inlineStr">
        <is>
          <t>10115</t>
        </is>
      </c>
      <c r="AP58" s="180" t="inlineStr">
        <is>
          <t>Germany</t>
        </is>
      </c>
      <c r="AQ58" s="181" t="inlineStr">
        <is>
          <t>+49 (0)80 0420 0300</t>
        </is>
      </c>
      <c r="AR58" s="182" t="inlineStr">
        <is>
          <t/>
        </is>
      </c>
      <c r="AS58" s="183" t="inlineStr">
        <is>
          <t>kontakt@thermondo.de</t>
        </is>
      </c>
      <c r="AT58" s="184" t="inlineStr">
        <is>
          <t>Europe</t>
        </is>
      </c>
      <c r="AU58" s="185" t="inlineStr">
        <is>
          <t>Western Europe</t>
        </is>
      </c>
      <c r="AV58" s="186" t="inlineStr">
        <is>
          <t>The company raised EUR 21 million of venture funding from Vorwerk Ventures, IBB Beteiligungsgesellschaft and Holtzbrinck Ventures on July 6, 2017. Eneco Smart Energy also participated in the round. The company, which has raised more than EUR 30 million in total funding to date, intends to use the funds for further growth and expansion of its technology platform. Previously, the company raised EUR 23.5 million of Series C venture funding from Global Founders Capital, E.ON Strategic Co-Investments and Holtzbrinck Ventures on May 30, 2016. IBB Beteiligungsgesellschaft and Picus Capital also participated.</t>
        </is>
      </c>
      <c r="AW58" s="187" t="inlineStr">
        <is>
          <t>Climate-KIC, E.ON Strategic Co-Investments, Ecosummit, Eneco, Global Founders Capital, GreyCorp, Holtzbrinck Ventures, IBB Beteiligungsgesellschaft, Leverate Media, Picus Capital, Rocket Internet, Vorwerk Ventures</t>
        </is>
      </c>
      <c r="AX58" s="188" t="n">
        <v>12.0</v>
      </c>
      <c r="AY58" s="189" t="inlineStr">
        <is>
          <t/>
        </is>
      </c>
      <c r="AZ58" s="190" t="inlineStr">
        <is>
          <t/>
        </is>
      </c>
      <c r="BA58" s="191" t="inlineStr">
        <is>
          <t/>
        </is>
      </c>
      <c r="BB58" s="192" t="inlineStr">
        <is>
          <t>Climate-KIC (www.climate-kic.org), Ecosummit (ecosummit.net), Eneco (www.eneco.nl), Global Founders Capital (www.globalfounders.vc), Holtzbrinck Ventures (www.holtzbrinck-ventures.com), IBB Beteiligungsgesellschaft (www.ibb-bet.de), Leverate Media (www.leverate.de), Picus Capital (www.picus-cap.com), Rocket Internet (www.rocket-internet.com), Vorwerk Ventures (corporate.vorwerk.de)</t>
        </is>
      </c>
      <c r="BC58" s="193" t="inlineStr">
        <is>
          <t/>
        </is>
      </c>
      <c r="BD58" s="194" t="inlineStr">
        <is>
          <t/>
        </is>
      </c>
      <c r="BE58" s="195" t="inlineStr">
        <is>
          <t/>
        </is>
      </c>
      <c r="BF58" s="196" t="inlineStr">
        <is>
          <t/>
        </is>
      </c>
      <c r="BG58" s="197" t="n">
        <v>41472.0</v>
      </c>
      <c r="BH58" s="198" t="inlineStr">
        <is>
          <t/>
        </is>
      </c>
      <c r="BI58" s="199" t="inlineStr">
        <is>
          <t/>
        </is>
      </c>
      <c r="BJ58" s="200" t="inlineStr">
        <is>
          <t/>
        </is>
      </c>
      <c r="BK58" s="201" t="inlineStr">
        <is>
          <t/>
        </is>
      </c>
      <c r="BL58" s="202" t="inlineStr">
        <is>
          <t>Accelerator/Incubator</t>
        </is>
      </c>
      <c r="BM58" s="203" t="inlineStr">
        <is>
          <t/>
        </is>
      </c>
      <c r="BN58" s="204" t="inlineStr">
        <is>
          <t/>
        </is>
      </c>
      <c r="BO58" s="205" t="inlineStr">
        <is>
          <t>Other</t>
        </is>
      </c>
      <c r="BP58" s="206" t="inlineStr">
        <is>
          <t/>
        </is>
      </c>
      <c r="BQ58" s="207" t="inlineStr">
        <is>
          <t/>
        </is>
      </c>
      <c r="BR58" s="208" t="inlineStr">
        <is>
          <t/>
        </is>
      </c>
      <c r="BS58" s="209" t="inlineStr">
        <is>
          <t>Completed</t>
        </is>
      </c>
      <c r="BT58" s="210" t="n">
        <v>42922.0</v>
      </c>
      <c r="BU58" s="211" t="n">
        <v>21.0</v>
      </c>
      <c r="BV58" s="212" t="inlineStr">
        <is>
          <t>Actual</t>
        </is>
      </c>
      <c r="BW58" s="213" t="inlineStr">
        <is>
          <t/>
        </is>
      </c>
      <c r="BX58" s="214" t="inlineStr">
        <is>
          <t/>
        </is>
      </c>
      <c r="BY58" s="215" t="inlineStr">
        <is>
          <t>Later Stage VC</t>
        </is>
      </c>
      <c r="BZ58" s="216" t="inlineStr">
        <is>
          <t>Series D</t>
        </is>
      </c>
      <c r="CA58" s="217" t="inlineStr">
        <is>
          <t/>
        </is>
      </c>
      <c r="CB58" s="218" t="inlineStr">
        <is>
          <t>Venture Capital</t>
        </is>
      </c>
      <c r="CC58" s="219" t="inlineStr">
        <is>
          <t/>
        </is>
      </c>
      <c r="CD58" s="220" t="inlineStr">
        <is>
          <t/>
        </is>
      </c>
      <c r="CE58" s="221" t="inlineStr">
        <is>
          <t/>
        </is>
      </c>
      <c r="CF58" s="222" t="inlineStr">
        <is>
          <t>Completed</t>
        </is>
      </c>
      <c r="CG58" s="223" t="inlineStr">
        <is>
          <t>0,45%</t>
        </is>
      </c>
      <c r="CH58" s="224" t="inlineStr">
        <is>
          <t>91</t>
        </is>
      </c>
      <c r="CI58" s="225" t="inlineStr">
        <is>
          <t>0,02%</t>
        </is>
      </c>
      <c r="CJ58" s="226" t="inlineStr">
        <is>
          <t>3,46%</t>
        </is>
      </c>
      <c r="CK58" s="227" t="inlineStr">
        <is>
          <t>0,23%</t>
        </is>
      </c>
      <c r="CL58" s="228" t="inlineStr">
        <is>
          <t>92</t>
        </is>
      </c>
      <c r="CM58" s="229" t="inlineStr">
        <is>
          <t>0,08%</t>
        </is>
      </c>
      <c r="CN58" s="230" t="inlineStr">
        <is>
          <t>55</t>
        </is>
      </c>
      <c r="CO58" s="231" t="inlineStr">
        <is>
          <t>0,49%</t>
        </is>
      </c>
      <c r="CP58" s="232" t="inlineStr">
        <is>
          <t>92</t>
        </is>
      </c>
      <c r="CQ58" s="233" t="inlineStr">
        <is>
          <t>-0,03%</t>
        </is>
      </c>
      <c r="CR58" s="234" t="inlineStr">
        <is>
          <t>20</t>
        </is>
      </c>
      <c r="CS58" s="235" t="inlineStr">
        <is>
          <t>0,01%</t>
        </is>
      </c>
      <c r="CT58" s="236" t="inlineStr">
        <is>
          <t>41</t>
        </is>
      </c>
      <c r="CU58" s="237" t="inlineStr">
        <is>
          <t>0,15%</t>
        </is>
      </c>
      <c r="CV58" s="238" t="inlineStr">
        <is>
          <t>72</t>
        </is>
      </c>
      <c r="CW58" s="239" t="inlineStr">
        <is>
          <t>18,73x</t>
        </is>
      </c>
      <c r="CX58" s="240" t="inlineStr">
        <is>
          <t>92</t>
        </is>
      </c>
      <c r="CY58" s="241" t="inlineStr">
        <is>
          <t>-0,01x</t>
        </is>
      </c>
      <c r="CZ58" s="242" t="inlineStr">
        <is>
          <t>-0,07%</t>
        </is>
      </c>
      <c r="DA58" s="243" t="inlineStr">
        <is>
          <t>50,97x</t>
        </is>
      </c>
      <c r="DB58" s="244" t="inlineStr">
        <is>
          <t>98</t>
        </is>
      </c>
      <c r="DC58" s="245" t="inlineStr">
        <is>
          <t>4,07x</t>
        </is>
      </c>
      <c r="DD58" s="246" t="inlineStr">
        <is>
          <t>73</t>
        </is>
      </c>
      <c r="DE58" s="247" t="inlineStr">
        <is>
          <t>90,13x</t>
        </is>
      </c>
      <c r="DF58" s="248" t="inlineStr">
        <is>
          <t>98</t>
        </is>
      </c>
      <c r="DG58" s="249" t="inlineStr">
        <is>
          <t>11,81x</t>
        </is>
      </c>
      <c r="DH58" s="250" t="inlineStr">
        <is>
          <t>89</t>
        </is>
      </c>
      <c r="DI58" s="251" t="inlineStr">
        <is>
          <t>5,47x</t>
        </is>
      </c>
      <c r="DJ58" s="252" t="inlineStr">
        <is>
          <t>75</t>
        </is>
      </c>
      <c r="DK58" s="253" t="inlineStr">
        <is>
          <t>2,67x</t>
        </is>
      </c>
      <c r="DL58" s="254" t="inlineStr">
        <is>
          <t>69</t>
        </is>
      </c>
      <c r="DM58" s="255" t="inlineStr">
        <is>
          <t>33.645</t>
        </is>
      </c>
      <c r="DN58" s="256" t="inlineStr">
        <is>
          <t>-616</t>
        </is>
      </c>
      <c r="DO58" s="257" t="inlineStr">
        <is>
          <t>-1,80%</t>
        </is>
      </c>
      <c r="DP58" s="258" t="inlineStr">
        <is>
          <t>4.336</t>
        </is>
      </c>
      <c r="DQ58" s="259" t="inlineStr">
        <is>
          <t>3</t>
        </is>
      </c>
      <c r="DR58" s="260" t="inlineStr">
        <is>
          <t>0,07%</t>
        </is>
      </c>
      <c r="DS58" s="261" t="inlineStr">
        <is>
          <t>425</t>
        </is>
      </c>
      <c r="DT58" s="262" t="inlineStr">
        <is>
          <t>0</t>
        </is>
      </c>
      <c r="DU58" s="263" t="inlineStr">
        <is>
          <t>0,00%</t>
        </is>
      </c>
      <c r="DV58" s="264" t="inlineStr">
        <is>
          <t>1.000</t>
        </is>
      </c>
      <c r="DW58" s="265" t="inlineStr">
        <is>
          <t>-1</t>
        </is>
      </c>
      <c r="DX58" s="266" t="inlineStr">
        <is>
          <t>-0,10%</t>
        </is>
      </c>
      <c r="DY58" s="267" t="inlineStr">
        <is>
          <t>PitchBook Research</t>
        </is>
      </c>
      <c r="DZ58" s="786">
        <f>HYPERLINK("https://my.pitchbook.com?c=107489-98", "View company online")</f>
      </c>
    </row>
    <row r="59">
      <c r="A59" s="9" t="inlineStr">
        <is>
          <t>161211-07</t>
        </is>
      </c>
      <c r="B59" s="10" t="inlineStr">
        <is>
          <t>Ottonova</t>
        </is>
      </c>
      <c r="C59" s="11" t="inlineStr">
        <is>
          <t/>
        </is>
      </c>
      <c r="D59" s="12" t="inlineStr">
        <is>
          <t/>
        </is>
      </c>
      <c r="E59" s="13" t="inlineStr">
        <is>
          <t>161211-07</t>
        </is>
      </c>
      <c r="F59" s="14" t="inlineStr">
        <is>
          <t>Provider of an online health insurance platform designed to make the complex issue of health care simple and transparent. The company's online health insurance platform offers private health insurance products at reasonable rates and flexible plans, enabling customers to get insurance covered on all healthcare related issues.</t>
        </is>
      </c>
      <c r="G59" s="15" t="inlineStr">
        <is>
          <t>Financial Services</t>
        </is>
      </c>
      <c r="H59" s="16" t="inlineStr">
        <is>
          <t>Insurance</t>
        </is>
      </c>
      <c r="I59" s="17" t="inlineStr">
        <is>
          <t>Life and Health Insurance</t>
        </is>
      </c>
      <c r="J59" s="18" t="inlineStr">
        <is>
          <t>Life and Health Insurance*</t>
        </is>
      </c>
      <c r="K59" s="19" t="inlineStr">
        <is>
          <t>InsurTech</t>
        </is>
      </c>
      <c r="L59" s="20" t="inlineStr">
        <is>
          <t>Venture Capital-Backed</t>
        </is>
      </c>
      <c r="M59" s="21" t="n">
        <v>50.0</v>
      </c>
      <c r="N59" s="22" t="inlineStr">
        <is>
          <t>Generating Revenue</t>
        </is>
      </c>
      <c r="O59" s="23" t="inlineStr">
        <is>
          <t>Privately Held (backing)</t>
        </is>
      </c>
      <c r="P59" s="24" t="inlineStr">
        <is>
          <t>Venture Capital</t>
        </is>
      </c>
      <c r="Q59" s="25" t="inlineStr">
        <is>
          <t>www.ottonova.de</t>
        </is>
      </c>
      <c r="R59" s="26" t="n">
        <v>50.0</v>
      </c>
      <c r="S59" s="27" t="inlineStr">
        <is>
          <t/>
        </is>
      </c>
      <c r="T59" s="28" t="inlineStr">
        <is>
          <t/>
        </is>
      </c>
      <c r="U59" s="29" t="n">
        <v>2015.0</v>
      </c>
      <c r="V59" s="30" t="inlineStr">
        <is>
          <t/>
        </is>
      </c>
      <c r="W59" s="31" t="inlineStr">
        <is>
          <t/>
        </is>
      </c>
      <c r="X59" s="32" t="inlineStr">
        <is>
          <t/>
        </is>
      </c>
      <c r="Y59" s="33" t="inlineStr">
        <is>
          <t/>
        </is>
      </c>
      <c r="Z59" s="34" t="inlineStr">
        <is>
          <t/>
        </is>
      </c>
      <c r="AA59" s="35" t="inlineStr">
        <is>
          <t/>
        </is>
      </c>
      <c r="AB59" s="36" t="inlineStr">
        <is>
          <t/>
        </is>
      </c>
      <c r="AC59" s="37" t="inlineStr">
        <is>
          <t/>
        </is>
      </c>
      <c r="AD59" s="38" t="inlineStr">
        <is>
          <t/>
        </is>
      </c>
      <c r="AE59" s="39" t="inlineStr">
        <is>
          <t>54991-90P</t>
        </is>
      </c>
      <c r="AF59" s="40" t="inlineStr">
        <is>
          <t>Roman Rittweger</t>
        </is>
      </c>
      <c r="AG59" s="41" t="inlineStr">
        <is>
          <t>Co-Founder, Chief Executive Officer &amp; Chairman</t>
        </is>
      </c>
      <c r="AH59" s="42" t="inlineStr">
        <is>
          <t>roman.rittweger@ottonova.de</t>
        </is>
      </c>
      <c r="AI59" s="43" t="inlineStr">
        <is>
          <t>+49 (0)89 3808 8029</t>
        </is>
      </c>
      <c r="AJ59" s="44" t="inlineStr">
        <is>
          <t>Munich, Germany</t>
        </is>
      </c>
      <c r="AK59" s="45" t="inlineStr">
        <is>
          <t>Ottostraße 4</t>
        </is>
      </c>
      <c r="AL59" s="46" t="inlineStr">
        <is>
          <t/>
        </is>
      </c>
      <c r="AM59" s="47" t="inlineStr">
        <is>
          <t>Munich</t>
        </is>
      </c>
      <c r="AN59" s="48" t="inlineStr">
        <is>
          <t/>
        </is>
      </c>
      <c r="AO59" s="49" t="inlineStr">
        <is>
          <t>80333</t>
        </is>
      </c>
      <c r="AP59" s="50" t="inlineStr">
        <is>
          <t>Germany</t>
        </is>
      </c>
      <c r="AQ59" s="51" t="inlineStr">
        <is>
          <t>+49 (0)89 3808 8029</t>
        </is>
      </c>
      <c r="AR59" s="52" t="inlineStr">
        <is>
          <t/>
        </is>
      </c>
      <c r="AS59" s="53" t="inlineStr">
        <is>
          <t>hallo@ottonova.de</t>
        </is>
      </c>
      <c r="AT59" s="54" t="inlineStr">
        <is>
          <t>Europe</t>
        </is>
      </c>
      <c r="AU59" s="55" t="inlineStr">
        <is>
          <t>Western Europe</t>
        </is>
      </c>
      <c r="AV59" s="56" t="inlineStr">
        <is>
          <t>The company raised EUR 10 million of Series C venture funding from Debeka Group, Holtzbrinck Ventures and Vorwerk Ventures on July 4, 2017, putting the pre-money valuation at EUR 90 million. Tengelmann Ventures, BtoV and STS Ventures also participated. The company, which has raised approximately EUR 40 million in funding, intends to use the capital to launch its product and continue to expand its offering with additional features. Earlier, the company raised EUR 15 million of venture funding in a deal led by Tengelmann Ventures, btov Partners and STS Ventures on March 16, 2017. Holtzbrinck Ventures and Vorwerk Ventures also participated in the round.</t>
        </is>
      </c>
      <c r="AW59" s="57" t="inlineStr">
        <is>
          <t>btov Partners, Debeka Group, Holtzbrinck Ventures, STS Ventures, Tengelmann Ventures, Vorwerk Ventures</t>
        </is>
      </c>
      <c r="AX59" s="58" t="n">
        <v>6.0</v>
      </c>
      <c r="AY59" s="59" t="inlineStr">
        <is>
          <t/>
        </is>
      </c>
      <c r="AZ59" s="60" t="inlineStr">
        <is>
          <t/>
        </is>
      </c>
      <c r="BA59" s="61" t="inlineStr">
        <is>
          <t/>
        </is>
      </c>
      <c r="BB59" s="62" t="inlineStr">
        <is>
          <t>btov Partners (www.btov.vc), Debeka Group (www.debeka.de), Holtzbrinck Ventures (www.holtzbrinck-ventures.com), STS Ventures (www.sts-ventures.de), Tengelmann Ventures (www.tev.de), Vorwerk Ventures (corporate.vorwerk.de)</t>
        </is>
      </c>
      <c r="BC59" s="63" t="inlineStr">
        <is>
          <t/>
        </is>
      </c>
      <c r="BD59" s="64" t="inlineStr">
        <is>
          <t/>
        </is>
      </c>
      <c r="BE59" s="65" t="inlineStr">
        <is>
          <t/>
        </is>
      </c>
      <c r="BF59" s="66" t="inlineStr">
        <is>
          <t>Hengeler Mueller (Legal Advisor)</t>
        </is>
      </c>
      <c r="BG59" s="67" t="inlineStr">
        <is>
          <t/>
        </is>
      </c>
      <c r="BH59" s="68" t="n">
        <v>20.0</v>
      </c>
      <c r="BI59" s="69" t="inlineStr">
        <is>
          <t>Estimated</t>
        </is>
      </c>
      <c r="BJ59" s="70" t="inlineStr">
        <is>
          <t/>
        </is>
      </c>
      <c r="BK59" s="71" t="inlineStr">
        <is>
          <t/>
        </is>
      </c>
      <c r="BL59" s="72" t="inlineStr">
        <is>
          <t>Early Stage VC</t>
        </is>
      </c>
      <c r="BM59" s="73" t="inlineStr">
        <is>
          <t/>
        </is>
      </c>
      <c r="BN59" s="74" t="inlineStr">
        <is>
          <t/>
        </is>
      </c>
      <c r="BO59" s="75" t="inlineStr">
        <is>
          <t>Venture Capital</t>
        </is>
      </c>
      <c r="BP59" s="76" t="inlineStr">
        <is>
          <t/>
        </is>
      </c>
      <c r="BQ59" s="77" t="inlineStr">
        <is>
          <t/>
        </is>
      </c>
      <c r="BR59" s="78" t="inlineStr">
        <is>
          <t/>
        </is>
      </c>
      <c r="BS59" s="79" t="inlineStr">
        <is>
          <t>Completed</t>
        </is>
      </c>
      <c r="BT59" s="80" t="n">
        <v>42920.0</v>
      </c>
      <c r="BU59" s="81" t="n">
        <v>10.0</v>
      </c>
      <c r="BV59" s="82" t="inlineStr">
        <is>
          <t>Actual</t>
        </is>
      </c>
      <c r="BW59" s="83" t="n">
        <v>100.0</v>
      </c>
      <c r="BX59" s="84" t="inlineStr">
        <is>
          <t>Estimated</t>
        </is>
      </c>
      <c r="BY59" s="85" t="inlineStr">
        <is>
          <t>Later Stage VC</t>
        </is>
      </c>
      <c r="BZ59" s="86" t="inlineStr">
        <is>
          <t>Series C</t>
        </is>
      </c>
      <c r="CA59" s="87" t="inlineStr">
        <is>
          <t/>
        </is>
      </c>
      <c r="CB59" s="88" t="inlineStr">
        <is>
          <t>Venture Capital</t>
        </is>
      </c>
      <c r="CC59" s="89" t="inlineStr">
        <is>
          <t/>
        </is>
      </c>
      <c r="CD59" s="90" t="inlineStr">
        <is>
          <t/>
        </is>
      </c>
      <c r="CE59" s="91" t="inlineStr">
        <is>
          <t/>
        </is>
      </c>
      <c r="CF59" s="92" t="inlineStr">
        <is>
          <t>Completed</t>
        </is>
      </c>
      <c r="CG59" s="93" t="inlineStr">
        <is>
          <t>-3,26%</t>
        </is>
      </c>
      <c r="CH59" s="94" t="inlineStr">
        <is>
          <t>6</t>
        </is>
      </c>
      <c r="CI59" s="95" t="inlineStr">
        <is>
          <t>-0,01%</t>
        </is>
      </c>
      <c r="CJ59" s="96" t="inlineStr">
        <is>
          <t>-0,18%</t>
        </is>
      </c>
      <c r="CK59" s="97" t="inlineStr">
        <is>
          <t>-8,26%</t>
        </is>
      </c>
      <c r="CL59" s="98" t="inlineStr">
        <is>
          <t>4</t>
        </is>
      </c>
      <c r="CM59" s="99" t="inlineStr">
        <is>
          <t>1,74%</t>
        </is>
      </c>
      <c r="CN59" s="100" t="inlineStr">
        <is>
          <t>98</t>
        </is>
      </c>
      <c r="CO59" s="101" t="inlineStr">
        <is>
          <t>-16,52%</t>
        </is>
      </c>
      <c r="CP59" s="102" t="inlineStr">
        <is>
          <t>7</t>
        </is>
      </c>
      <c r="CQ59" s="103" t="inlineStr">
        <is>
          <t>0,00%</t>
        </is>
      </c>
      <c r="CR59" s="104" t="inlineStr">
        <is>
          <t>20</t>
        </is>
      </c>
      <c r="CS59" s="105" t="inlineStr">
        <is>
          <t>2,53%</t>
        </is>
      </c>
      <c r="CT59" s="106" t="inlineStr">
        <is>
          <t>99</t>
        </is>
      </c>
      <c r="CU59" s="107" t="inlineStr">
        <is>
          <t>0,95%</t>
        </is>
      </c>
      <c r="CV59" s="108" t="inlineStr">
        <is>
          <t>96</t>
        </is>
      </c>
      <c r="CW59" s="109" t="inlineStr">
        <is>
          <t>1,42x</t>
        </is>
      </c>
      <c r="CX59" s="110" t="inlineStr">
        <is>
          <t>57</t>
        </is>
      </c>
      <c r="CY59" s="111" t="inlineStr">
        <is>
          <t>-0,01x</t>
        </is>
      </c>
      <c r="CZ59" s="112" t="inlineStr">
        <is>
          <t>-0,91%</t>
        </is>
      </c>
      <c r="DA59" s="113" t="inlineStr">
        <is>
          <t>1,22x</t>
        </is>
      </c>
      <c r="DB59" s="114" t="inlineStr">
        <is>
          <t>56</t>
        </is>
      </c>
      <c r="DC59" s="115" t="inlineStr">
        <is>
          <t>1,63x</t>
        </is>
      </c>
      <c r="DD59" s="116" t="inlineStr">
        <is>
          <t>58</t>
        </is>
      </c>
      <c r="DE59" s="117" t="inlineStr">
        <is>
          <t>0,08x</t>
        </is>
      </c>
      <c r="DF59" s="118" t="inlineStr">
        <is>
          <t>3</t>
        </is>
      </c>
      <c r="DG59" s="119" t="inlineStr">
        <is>
          <t>2,36x</t>
        </is>
      </c>
      <c r="DH59" s="120" t="inlineStr">
        <is>
          <t>68</t>
        </is>
      </c>
      <c r="DI59" s="121" t="inlineStr">
        <is>
          <t>1,42x</t>
        </is>
      </c>
      <c r="DJ59" s="122" t="inlineStr">
        <is>
          <t>56</t>
        </is>
      </c>
      <c r="DK59" s="123" t="inlineStr">
        <is>
          <t>1,84x</t>
        </is>
      </c>
      <c r="DL59" s="124" t="inlineStr">
        <is>
          <t>62</t>
        </is>
      </c>
      <c r="DM59" s="125" t="inlineStr">
        <is>
          <t>30</t>
        </is>
      </c>
      <c r="DN59" s="126" t="inlineStr">
        <is>
          <t>0</t>
        </is>
      </c>
      <c r="DO59" s="127" t="inlineStr">
        <is>
          <t>0,00%</t>
        </is>
      </c>
      <c r="DP59" s="128" t="inlineStr">
        <is>
          <t>1.112</t>
        </is>
      </c>
      <c r="DQ59" s="129" t="inlineStr">
        <is>
          <t>14</t>
        </is>
      </c>
      <c r="DR59" s="130" t="inlineStr">
        <is>
          <t>1,28%</t>
        </is>
      </c>
      <c r="DS59" s="131" t="inlineStr">
        <is>
          <t>85</t>
        </is>
      </c>
      <c r="DT59" s="132" t="inlineStr">
        <is>
          <t>-1</t>
        </is>
      </c>
      <c r="DU59" s="133" t="inlineStr">
        <is>
          <t>-1,16%</t>
        </is>
      </c>
      <c r="DV59" s="134" t="inlineStr">
        <is>
          <t>685</t>
        </is>
      </c>
      <c r="DW59" s="135" t="inlineStr">
        <is>
          <t>3</t>
        </is>
      </c>
      <c r="DX59" s="136" t="inlineStr">
        <is>
          <t>0,44%</t>
        </is>
      </c>
      <c r="DY59" s="137" t="inlineStr">
        <is>
          <t>PitchBook Research</t>
        </is>
      </c>
      <c r="DZ59" s="785">
        <f>HYPERLINK("https://my.pitchbook.com?c=161211-07", "View company online")</f>
      </c>
    </row>
    <row r="60">
      <c r="A60" s="139" t="inlineStr">
        <is>
          <t>56793-70</t>
        </is>
      </c>
      <c r="B60" s="140" t="inlineStr">
        <is>
          <t>Enevo</t>
        </is>
      </c>
      <c r="C60" s="141" t="inlineStr">
        <is>
          <t/>
        </is>
      </c>
      <c r="D60" s="142" t="inlineStr">
        <is>
          <t/>
        </is>
      </c>
      <c r="E60" s="143" t="inlineStr">
        <is>
          <t>56793-70</t>
        </is>
      </c>
      <c r="F60" s="144" t="inlineStr">
        <is>
          <t>Developer waste management software designed to transform the financial, environmental and social impact of waste. The company's dumpster sensor technology and waste analytics software is able to create efficiencies and cut the cost of waste collection and incentivise recycling by collecting and analyzing data from refuse containers across the world, enabling restaurant, retail and commercial property customers to streamline waste management operations further and increase efficiency and transparency.</t>
        </is>
      </c>
      <c r="G60" s="145" t="inlineStr">
        <is>
          <t>Information Technology</t>
        </is>
      </c>
      <c r="H60" s="146" t="inlineStr">
        <is>
          <t>Software</t>
        </is>
      </c>
      <c r="I60" s="147" t="inlineStr">
        <is>
          <t>Business/Productivity Software</t>
        </is>
      </c>
      <c r="J60" s="148" t="inlineStr">
        <is>
          <t>Business/Productivity Software*</t>
        </is>
      </c>
      <c r="K60" s="149" t="inlineStr">
        <is>
          <t>CleanTech, Internet of Things, SaaS</t>
        </is>
      </c>
      <c r="L60" s="150" t="inlineStr">
        <is>
          <t>Venture Capital-Backed</t>
        </is>
      </c>
      <c r="M60" s="151" t="n">
        <v>47.49</v>
      </c>
      <c r="N60" s="152" t="inlineStr">
        <is>
          <t>Generating Revenue</t>
        </is>
      </c>
      <c r="O60" s="153" t="inlineStr">
        <is>
          <t>Privately Held (backing)</t>
        </is>
      </c>
      <c r="P60" s="154" t="inlineStr">
        <is>
          <t>Venture Capital, M&amp;A</t>
        </is>
      </c>
      <c r="Q60" s="155" t="inlineStr">
        <is>
          <t>www.enevo.com</t>
        </is>
      </c>
      <c r="R60" s="156" t="n">
        <v>39.0</v>
      </c>
      <c r="S60" s="157" t="inlineStr">
        <is>
          <t/>
        </is>
      </c>
      <c r="T60" s="158" t="inlineStr">
        <is>
          <t/>
        </is>
      </c>
      <c r="U60" s="159" t="n">
        <v>2010.0</v>
      </c>
      <c r="V60" s="160" t="inlineStr">
        <is>
          <t/>
        </is>
      </c>
      <c r="W60" s="161" t="inlineStr">
        <is>
          <t/>
        </is>
      </c>
      <c r="X60" s="162" t="inlineStr">
        <is>
          <t/>
        </is>
      </c>
      <c r="Y60" s="163" t="n">
        <v>2.9596</v>
      </c>
      <c r="Z60" s="164" t="inlineStr">
        <is>
          <t/>
        </is>
      </c>
      <c r="AA60" s="165" t="n">
        <v>-8.09147</v>
      </c>
      <c r="AB60" s="166" t="inlineStr">
        <is>
          <t/>
        </is>
      </c>
      <c r="AC60" s="167" t="inlineStr">
        <is>
          <t/>
        </is>
      </c>
      <c r="AD60" s="168" t="inlineStr">
        <is>
          <t>FY 2016</t>
        </is>
      </c>
      <c r="AE60" s="169" t="inlineStr">
        <is>
          <t>54930-34P</t>
        </is>
      </c>
      <c r="AF60" s="170" t="inlineStr">
        <is>
          <t>Fredrik Kekalainen</t>
        </is>
      </c>
      <c r="AG60" s="171" t="inlineStr">
        <is>
          <t>Chief Executive Officer &amp; Co-Founder</t>
        </is>
      </c>
      <c r="AH60" s="172" t="inlineStr">
        <is>
          <t>fredrik.kekalainen@enevo.com</t>
        </is>
      </c>
      <c r="AI60" s="173" t="inlineStr">
        <is>
          <t>+358 (0)40 516 1014</t>
        </is>
      </c>
      <c r="AJ60" s="174" t="inlineStr">
        <is>
          <t>Espoo, Finland</t>
        </is>
      </c>
      <c r="AK60" s="175" t="inlineStr">
        <is>
          <t>Linnoitustie 6</t>
        </is>
      </c>
      <c r="AL60" s="176" t="inlineStr">
        <is>
          <t/>
        </is>
      </c>
      <c r="AM60" s="177" t="inlineStr">
        <is>
          <t>Espoo</t>
        </is>
      </c>
      <c r="AN60" s="178" t="inlineStr">
        <is>
          <t/>
        </is>
      </c>
      <c r="AO60" s="179" t="inlineStr">
        <is>
          <t>02600</t>
        </is>
      </c>
      <c r="AP60" s="180" t="inlineStr">
        <is>
          <t>Finland</t>
        </is>
      </c>
      <c r="AQ60" s="181" t="inlineStr">
        <is>
          <t>+358 (0)20 734 0750</t>
        </is>
      </c>
      <c r="AR60" s="182" t="inlineStr">
        <is>
          <t/>
        </is>
      </c>
      <c r="AS60" s="183" t="inlineStr">
        <is>
          <t>info@enevo.com</t>
        </is>
      </c>
      <c r="AT60" s="184" t="inlineStr">
        <is>
          <t>Europe</t>
        </is>
      </c>
      <c r="AU60" s="185" t="inlineStr">
        <is>
          <t>Northern Europe</t>
        </is>
      </c>
      <c r="AV60" s="186" t="inlineStr">
        <is>
          <t>The company raised $12 million of Series C venture funding in a deal led by Lifeline Ventures on September 22, 2017. Earlybird Venture Capital and Draper Associates also participated in the round. The funds will be used to further expand the business in the United States market.</t>
        </is>
      </c>
      <c r="AW60" s="187" t="inlineStr">
        <is>
          <t>Alan Braverman, Bradley Feld, Dan Bragiel, Darian Shirazi, Draper Associates, Earlybird Venture Capital, Elina Lepomäki, Esa Makelainen, Finnish Industry Investment, Foxconn Technology Group, Ginko Ventures, Horizon 2020, Jared Kopf, Lifeline Ventures, Mingfeng Wu, Mistletoe, Risto Siilasmaa, Scott Banister, ZenStone Venture Capital</t>
        </is>
      </c>
      <c r="AX60" s="188" t="n">
        <v>19.0</v>
      </c>
      <c r="AY60" s="189" t="inlineStr">
        <is>
          <t/>
        </is>
      </c>
      <c r="AZ60" s="190" t="inlineStr">
        <is>
          <t/>
        </is>
      </c>
      <c r="BA60" s="191" t="inlineStr">
        <is>
          <t/>
        </is>
      </c>
      <c r="BB60" s="192" t="inlineStr">
        <is>
          <t>Alan Braverman (alanb.com), Draper Associates (www.draper.vc), Earlybird Venture Capital (www.earlybird.com), Finnish Industry Investment (www.industryinvestment.com), Foxconn Technology Group (www.foxconn.com), Ginko Ventures (www.ginkopartners.com), Lifeline Ventures (www.lifelineventures.com), Mistletoe (www.mistletoe.co), ZenStone Venture Capital (www.zenstonevc.com)</t>
        </is>
      </c>
      <c r="BC60" s="193" t="inlineStr">
        <is>
          <t/>
        </is>
      </c>
      <c r="BD60" s="194" t="inlineStr">
        <is>
          <t/>
        </is>
      </c>
      <c r="BE60" s="195" t="inlineStr">
        <is>
          <t/>
        </is>
      </c>
      <c r="BF60" s="196" t="inlineStr">
        <is>
          <t>European Investment Bank (Debt Financing)</t>
        </is>
      </c>
      <c r="BG60" s="197" t="n">
        <v>40946.0</v>
      </c>
      <c r="BH60" s="198" t="n">
        <v>0.26</v>
      </c>
      <c r="BI60" s="199" t="inlineStr">
        <is>
          <t>Actual</t>
        </is>
      </c>
      <c r="BJ60" s="200" t="inlineStr">
        <is>
          <t/>
        </is>
      </c>
      <c r="BK60" s="201" t="inlineStr">
        <is>
          <t/>
        </is>
      </c>
      <c r="BL60" s="202" t="inlineStr">
        <is>
          <t>Seed Round</t>
        </is>
      </c>
      <c r="BM60" s="203" t="inlineStr">
        <is>
          <t>Seed</t>
        </is>
      </c>
      <c r="BN60" s="204" t="inlineStr">
        <is>
          <t/>
        </is>
      </c>
      <c r="BO60" s="205" t="inlineStr">
        <is>
          <t>Venture Capital</t>
        </is>
      </c>
      <c r="BP60" s="206" t="inlineStr">
        <is>
          <t/>
        </is>
      </c>
      <c r="BQ60" s="207" t="inlineStr">
        <is>
          <t/>
        </is>
      </c>
      <c r="BR60" s="208" t="inlineStr">
        <is>
          <t/>
        </is>
      </c>
      <c r="BS60" s="209" t="inlineStr">
        <is>
          <t>Completed</t>
        </is>
      </c>
      <c r="BT60" s="210" t="n">
        <v>43000.0</v>
      </c>
      <c r="BU60" s="211" t="n">
        <v>10.07</v>
      </c>
      <c r="BV60" s="212" t="inlineStr">
        <is>
          <t>Actual</t>
        </is>
      </c>
      <c r="BW60" s="213" t="inlineStr">
        <is>
          <t/>
        </is>
      </c>
      <c r="BX60" s="214" t="inlineStr">
        <is>
          <t/>
        </is>
      </c>
      <c r="BY60" s="215" t="inlineStr">
        <is>
          <t>Later Stage VC</t>
        </is>
      </c>
      <c r="BZ60" s="216" t="inlineStr">
        <is>
          <t>Series C</t>
        </is>
      </c>
      <c r="CA60" s="217" t="inlineStr">
        <is>
          <t/>
        </is>
      </c>
      <c r="CB60" s="218" t="inlineStr">
        <is>
          <t>Venture Capital</t>
        </is>
      </c>
      <c r="CC60" s="219" t="inlineStr">
        <is>
          <t/>
        </is>
      </c>
      <c r="CD60" s="220" t="inlineStr">
        <is>
          <t/>
        </is>
      </c>
      <c r="CE60" s="221" t="inlineStr">
        <is>
          <t/>
        </is>
      </c>
      <c r="CF60" s="222" t="inlineStr">
        <is>
          <t>Completed</t>
        </is>
      </c>
      <c r="CG60" s="223" t="inlineStr">
        <is>
          <t>-2,36%</t>
        </is>
      </c>
      <c r="CH60" s="224" t="inlineStr">
        <is>
          <t>8</t>
        </is>
      </c>
      <c r="CI60" s="225" t="inlineStr">
        <is>
          <t>-0,01%</t>
        </is>
      </c>
      <c r="CJ60" s="226" t="inlineStr">
        <is>
          <t>-0,58%</t>
        </is>
      </c>
      <c r="CK60" s="227" t="inlineStr">
        <is>
          <t>-6,01%</t>
        </is>
      </c>
      <c r="CL60" s="228" t="inlineStr">
        <is>
          <t>6</t>
        </is>
      </c>
      <c r="CM60" s="229" t="inlineStr">
        <is>
          <t>0,15%</t>
        </is>
      </c>
      <c r="CN60" s="230" t="inlineStr">
        <is>
          <t>66</t>
        </is>
      </c>
      <c r="CO60" s="231" t="inlineStr">
        <is>
          <t>-11,35%</t>
        </is>
      </c>
      <c r="CP60" s="232" t="inlineStr">
        <is>
          <t>11</t>
        </is>
      </c>
      <c r="CQ60" s="233" t="inlineStr">
        <is>
          <t>-0,68%</t>
        </is>
      </c>
      <c r="CR60" s="234" t="inlineStr">
        <is>
          <t>14</t>
        </is>
      </c>
      <c r="CS60" s="235" t="inlineStr">
        <is>
          <t>0,10%</t>
        </is>
      </c>
      <c r="CT60" s="236" t="inlineStr">
        <is>
          <t>56</t>
        </is>
      </c>
      <c r="CU60" s="237" t="inlineStr">
        <is>
          <t>0,19%</t>
        </is>
      </c>
      <c r="CV60" s="238" t="inlineStr">
        <is>
          <t>75</t>
        </is>
      </c>
      <c r="CW60" s="239" t="inlineStr">
        <is>
          <t>3,39x</t>
        </is>
      </c>
      <c r="CX60" s="240" t="inlineStr">
        <is>
          <t>74</t>
        </is>
      </c>
      <c r="CY60" s="241" t="inlineStr">
        <is>
          <t>-0,03x</t>
        </is>
      </c>
      <c r="CZ60" s="242" t="inlineStr">
        <is>
          <t>-0,81%</t>
        </is>
      </c>
      <c r="DA60" s="243" t="inlineStr">
        <is>
          <t>6,73x</t>
        </is>
      </c>
      <c r="DB60" s="244" t="inlineStr">
        <is>
          <t>85</t>
        </is>
      </c>
      <c r="DC60" s="245" t="inlineStr">
        <is>
          <t>3,31x</t>
        </is>
      </c>
      <c r="DD60" s="246" t="inlineStr">
        <is>
          <t>70</t>
        </is>
      </c>
      <c r="DE60" s="247" t="inlineStr">
        <is>
          <t>1,57x</t>
        </is>
      </c>
      <c r="DF60" s="248" t="inlineStr">
        <is>
          <t>61</t>
        </is>
      </c>
      <c r="DG60" s="249" t="inlineStr">
        <is>
          <t>11,89x</t>
        </is>
      </c>
      <c r="DH60" s="250" t="inlineStr">
        <is>
          <t>89</t>
        </is>
      </c>
      <c r="DI60" s="251" t="inlineStr">
        <is>
          <t>1,70x</t>
        </is>
      </c>
      <c r="DJ60" s="252" t="inlineStr">
        <is>
          <t>59</t>
        </is>
      </c>
      <c r="DK60" s="253" t="inlineStr">
        <is>
          <t>4,92x</t>
        </is>
      </c>
      <c r="DL60" s="254" t="inlineStr">
        <is>
          <t>79</t>
        </is>
      </c>
      <c r="DM60" s="255" t="inlineStr">
        <is>
          <t>569</t>
        </is>
      </c>
      <c r="DN60" s="256" t="inlineStr">
        <is>
          <t>60</t>
        </is>
      </c>
      <c r="DO60" s="257" t="inlineStr">
        <is>
          <t>11,79%</t>
        </is>
      </c>
      <c r="DP60" s="258" t="inlineStr">
        <is>
          <t>1.349</t>
        </is>
      </c>
      <c r="DQ60" s="259" t="inlineStr">
        <is>
          <t>2</t>
        </is>
      </c>
      <c r="DR60" s="260" t="inlineStr">
        <is>
          <t>0,15%</t>
        </is>
      </c>
      <c r="DS60" s="261" t="inlineStr">
        <is>
          <t>429</t>
        </is>
      </c>
      <c r="DT60" s="262" t="inlineStr">
        <is>
          <t>-3</t>
        </is>
      </c>
      <c r="DU60" s="263" t="inlineStr">
        <is>
          <t>-0,69%</t>
        </is>
      </c>
      <c r="DV60" s="264" t="inlineStr">
        <is>
          <t>1.843</t>
        </is>
      </c>
      <c r="DW60" s="265" t="inlineStr">
        <is>
          <t>-3</t>
        </is>
      </c>
      <c r="DX60" s="266" t="inlineStr">
        <is>
          <t>-0,16%</t>
        </is>
      </c>
      <c r="DY60" s="267" t="inlineStr">
        <is>
          <t>PitchBook Research</t>
        </is>
      </c>
      <c r="DZ60" s="786">
        <f>HYPERLINK("https://my.pitchbook.com?c=56793-70", "View company online")</f>
      </c>
    </row>
    <row r="61">
      <c r="A61" s="9" t="inlineStr">
        <is>
          <t>55304-74</t>
        </is>
      </c>
      <c r="B61" s="10" t="inlineStr">
        <is>
          <t>iAdvize</t>
        </is>
      </c>
      <c r="C61" s="11" t="inlineStr">
        <is>
          <t/>
        </is>
      </c>
      <c r="D61" s="12" t="inlineStr">
        <is>
          <t/>
        </is>
      </c>
      <c r="E61" s="13" t="inlineStr">
        <is>
          <t>55304-74</t>
        </is>
      </c>
      <c r="F61" s="14" t="inlineStr">
        <is>
          <t>Provider of a real-time customer engagement platform designed to manage online customer relations. The company's real-time customer engagement platform predicts and engages contact opportunities with authentic experts and converts them into business values, enabling businesses to engage their customers and prospects whether they're on the website or on social media from one single messaging platform, thereby improving their conversion rate, customer satisfaction and increasing sales.</t>
        </is>
      </c>
      <c r="G61" s="15" t="inlineStr">
        <is>
          <t>Information Technology</t>
        </is>
      </c>
      <c r="H61" s="16" t="inlineStr">
        <is>
          <t>Software</t>
        </is>
      </c>
      <c r="I61" s="17" t="inlineStr">
        <is>
          <t>Business/Productivity Software</t>
        </is>
      </c>
      <c r="J61" s="18" t="inlineStr">
        <is>
          <t>Business/Productivity Software*; Communication Software</t>
        </is>
      </c>
      <c r="K61" s="19" t="inlineStr">
        <is>
          <t>SaaS</t>
        </is>
      </c>
      <c r="L61" s="20" t="inlineStr">
        <is>
          <t>Venture Capital-Backed</t>
        </is>
      </c>
      <c r="M61" s="21" t="n">
        <v>47.1</v>
      </c>
      <c r="N61" s="22" t="inlineStr">
        <is>
          <t>Generating Revenue</t>
        </is>
      </c>
      <c r="O61" s="23" t="inlineStr">
        <is>
          <t>Privately Held (backing)</t>
        </is>
      </c>
      <c r="P61" s="24" t="inlineStr">
        <is>
          <t>Venture Capital</t>
        </is>
      </c>
      <c r="Q61" s="25" t="inlineStr">
        <is>
          <t>www.iadvize.com</t>
        </is>
      </c>
      <c r="R61" s="26" t="n">
        <v>190.0</v>
      </c>
      <c r="S61" s="27" t="inlineStr">
        <is>
          <t/>
        </is>
      </c>
      <c r="T61" s="28" t="inlineStr">
        <is>
          <t/>
        </is>
      </c>
      <c r="U61" s="29" t="n">
        <v>2010.0</v>
      </c>
      <c r="V61" s="30" t="inlineStr">
        <is>
          <t/>
        </is>
      </c>
      <c r="W61" s="31" t="inlineStr">
        <is>
          <t/>
        </is>
      </c>
      <c r="X61" s="32" t="inlineStr">
        <is>
          <t/>
        </is>
      </c>
      <c r="Y61" s="33" t="n">
        <v>7.13853</v>
      </c>
      <c r="Z61" s="34" t="inlineStr">
        <is>
          <t/>
        </is>
      </c>
      <c r="AA61" s="35" t="inlineStr">
        <is>
          <t/>
        </is>
      </c>
      <c r="AB61" s="36" t="inlineStr">
        <is>
          <t/>
        </is>
      </c>
      <c r="AC61" s="37" t="inlineStr">
        <is>
          <t/>
        </is>
      </c>
      <c r="AD61" s="38" t="inlineStr">
        <is>
          <t>FY 2015</t>
        </is>
      </c>
      <c r="AE61" s="39" t="inlineStr">
        <is>
          <t>55468-90P</t>
        </is>
      </c>
      <c r="AF61" s="40" t="inlineStr">
        <is>
          <t>Julien Hervouet</t>
        </is>
      </c>
      <c r="AG61" s="41" t="inlineStr">
        <is>
          <t>Co-Founder and Chief Executive Officer</t>
        </is>
      </c>
      <c r="AH61" s="42" t="inlineStr">
        <is>
          <t>julien@iadvize.com</t>
        </is>
      </c>
      <c r="AI61" s="43" t="inlineStr">
        <is>
          <t>+44 (0)20 3445 0904</t>
        </is>
      </c>
      <c r="AJ61" s="44" t="inlineStr">
        <is>
          <t>London, United Kingdom</t>
        </is>
      </c>
      <c r="AK61" s="45" t="inlineStr">
        <is>
          <t>2 Kingdom Street</t>
        </is>
      </c>
      <c r="AL61" s="46" t="inlineStr">
        <is>
          <t/>
        </is>
      </c>
      <c r="AM61" s="47" t="inlineStr">
        <is>
          <t>London</t>
        </is>
      </c>
      <c r="AN61" s="48" t="inlineStr">
        <is>
          <t>England</t>
        </is>
      </c>
      <c r="AO61" s="49" t="inlineStr">
        <is>
          <t>W2 6BD</t>
        </is>
      </c>
      <c r="AP61" s="50" t="inlineStr">
        <is>
          <t>United Kingdom</t>
        </is>
      </c>
      <c r="AQ61" s="51" t="inlineStr">
        <is>
          <t>+44 (0)20 3445 0904</t>
        </is>
      </c>
      <c r="AR61" s="52" t="inlineStr">
        <is>
          <t/>
        </is>
      </c>
      <c r="AS61" s="53" t="inlineStr">
        <is>
          <t>contact-uk@iadvize.com</t>
        </is>
      </c>
      <c r="AT61" s="54" t="inlineStr">
        <is>
          <t>Europe</t>
        </is>
      </c>
      <c r="AU61" s="55" t="inlineStr">
        <is>
          <t>Western Europe</t>
        </is>
      </c>
      <c r="AV61" s="56" t="inlineStr">
        <is>
          <t>The company raised EUR 32 million of Series C venture funding from Idinvest Partners, Bpifrance and Quadrille Capital on October 24, 2017. The funds will be used to to increase the company's London, Düsseldorf, Madrid and Nantes teams, accelerate product innovation and expand its international footprint by opening the first North American office in Boston USA in October 2017.</t>
        </is>
      </c>
      <c r="AW61" s="57" t="inlineStr">
        <is>
          <t>Alven Capital Partners, Bpifrance, IdInvest Partners, Iris Capital Management, Jérémie Berrebi, Kima Ventures, Oleg Tscheltzoff, Quadrille Capital</t>
        </is>
      </c>
      <c r="AX61" s="58" t="n">
        <v>8.0</v>
      </c>
      <c r="AY61" s="59" t="inlineStr">
        <is>
          <t/>
        </is>
      </c>
      <c r="AZ61" s="60" t="inlineStr">
        <is>
          <t/>
        </is>
      </c>
      <c r="BA61" s="61" t="inlineStr">
        <is>
          <t/>
        </is>
      </c>
      <c r="BB61" s="62" t="inlineStr">
        <is>
          <t>Alven Capital Partners (www.alven.co), Bpifrance (www.bpifrance.fr), IdInvest Partners (www.idinvest.com), Iris Capital Management (www.iriscapital.com), Jérémie Berrebi (www.berrebi.org), Kima Ventures (www.kimaventures.com), Quadrille Capital (www.quadrillecapital.com)</t>
        </is>
      </c>
      <c r="BC61" s="63" t="inlineStr">
        <is>
          <t/>
        </is>
      </c>
      <c r="BD61" s="64" t="inlineStr">
        <is>
          <t/>
        </is>
      </c>
      <c r="BE61" s="65" t="inlineStr">
        <is>
          <t/>
        </is>
      </c>
      <c r="BF61" s="66" t="inlineStr">
        <is>
          <t>Clipperton Finance (Advisor: General), Ader Finance (Placement Agent)</t>
        </is>
      </c>
      <c r="BG61" s="67" t="inlineStr">
        <is>
          <t/>
        </is>
      </c>
      <c r="BH61" s="68" t="n">
        <v>0.1</v>
      </c>
      <c r="BI61" s="69" t="inlineStr">
        <is>
          <t>Actual</t>
        </is>
      </c>
      <c r="BJ61" s="70" t="inlineStr">
        <is>
          <t/>
        </is>
      </c>
      <c r="BK61" s="71" t="inlineStr">
        <is>
          <t/>
        </is>
      </c>
      <c r="BL61" s="72" t="inlineStr">
        <is>
          <t>Early Stage VC</t>
        </is>
      </c>
      <c r="BM61" s="73" t="inlineStr">
        <is>
          <t/>
        </is>
      </c>
      <c r="BN61" s="74" t="inlineStr">
        <is>
          <t/>
        </is>
      </c>
      <c r="BO61" s="75" t="inlineStr">
        <is>
          <t>Venture Capital</t>
        </is>
      </c>
      <c r="BP61" s="76" t="inlineStr">
        <is>
          <t/>
        </is>
      </c>
      <c r="BQ61" s="77" t="inlineStr">
        <is>
          <t/>
        </is>
      </c>
      <c r="BR61" s="78" t="inlineStr">
        <is>
          <t/>
        </is>
      </c>
      <c r="BS61" s="79" t="inlineStr">
        <is>
          <t>Completed</t>
        </is>
      </c>
      <c r="BT61" s="80" t="n">
        <v>43032.0</v>
      </c>
      <c r="BU61" s="81" t="n">
        <v>32.0</v>
      </c>
      <c r="BV61" s="82" t="inlineStr">
        <is>
          <t>Actual</t>
        </is>
      </c>
      <c r="BW61" s="83" t="inlineStr">
        <is>
          <t/>
        </is>
      </c>
      <c r="BX61" s="84" t="inlineStr">
        <is>
          <t/>
        </is>
      </c>
      <c r="BY61" s="85" t="inlineStr">
        <is>
          <t>Later Stage VC</t>
        </is>
      </c>
      <c r="BZ61" s="86" t="inlineStr">
        <is>
          <t>Series C</t>
        </is>
      </c>
      <c r="CA61" s="87" t="inlineStr">
        <is>
          <t/>
        </is>
      </c>
      <c r="CB61" s="88" t="inlineStr">
        <is>
          <t>Venture Capital</t>
        </is>
      </c>
      <c r="CC61" s="89" t="inlineStr">
        <is>
          <t/>
        </is>
      </c>
      <c r="CD61" s="90" t="inlineStr">
        <is>
          <t/>
        </is>
      </c>
      <c r="CE61" s="91" t="inlineStr">
        <is>
          <t/>
        </is>
      </c>
      <c r="CF61" s="92" t="inlineStr">
        <is>
          <t>Completed</t>
        </is>
      </c>
      <c r="CG61" s="93" t="inlineStr">
        <is>
          <t>-3,23%</t>
        </is>
      </c>
      <c r="CH61" s="94" t="inlineStr">
        <is>
          <t>6</t>
        </is>
      </c>
      <c r="CI61" s="95" t="inlineStr">
        <is>
          <t>0,03%</t>
        </is>
      </c>
      <c r="CJ61" s="96" t="inlineStr">
        <is>
          <t>0,92%</t>
        </is>
      </c>
      <c r="CK61" s="97" t="inlineStr">
        <is>
          <t>-10,82%</t>
        </is>
      </c>
      <c r="CL61" s="98" t="inlineStr">
        <is>
          <t>3</t>
        </is>
      </c>
      <c r="CM61" s="99" t="inlineStr">
        <is>
          <t>0,79%</t>
        </is>
      </c>
      <c r="CN61" s="100" t="inlineStr">
        <is>
          <t>94</t>
        </is>
      </c>
      <c r="CO61" s="101" t="inlineStr">
        <is>
          <t>-21,62%</t>
        </is>
      </c>
      <c r="CP61" s="102" t="inlineStr">
        <is>
          <t>4</t>
        </is>
      </c>
      <c r="CQ61" s="103" t="inlineStr">
        <is>
          <t>-0,02%</t>
        </is>
      </c>
      <c r="CR61" s="104" t="inlineStr">
        <is>
          <t>20</t>
        </is>
      </c>
      <c r="CS61" s="105" t="inlineStr">
        <is>
          <t>1,06%</t>
        </is>
      </c>
      <c r="CT61" s="106" t="inlineStr">
        <is>
          <t>95</t>
        </is>
      </c>
      <c r="CU61" s="107" t="inlineStr">
        <is>
          <t>0,53%</t>
        </is>
      </c>
      <c r="CV61" s="108" t="inlineStr">
        <is>
          <t>92</t>
        </is>
      </c>
      <c r="CW61" s="109" t="inlineStr">
        <is>
          <t>12,49x</t>
        </is>
      </c>
      <c r="CX61" s="110" t="inlineStr">
        <is>
          <t>90</t>
        </is>
      </c>
      <c r="CY61" s="111" t="inlineStr">
        <is>
          <t>-0,03x</t>
        </is>
      </c>
      <c r="CZ61" s="112" t="inlineStr">
        <is>
          <t>-0,26%</t>
        </is>
      </c>
      <c r="DA61" s="113" t="inlineStr">
        <is>
          <t>23,43x</t>
        </is>
      </c>
      <c r="DB61" s="114" t="inlineStr">
        <is>
          <t>95</t>
        </is>
      </c>
      <c r="DC61" s="115" t="inlineStr">
        <is>
          <t>13,38x</t>
        </is>
      </c>
      <c r="DD61" s="116" t="inlineStr">
        <is>
          <t>87</t>
        </is>
      </c>
      <c r="DE61" s="117" t="inlineStr">
        <is>
          <t>1,64x</t>
        </is>
      </c>
      <c r="DF61" s="118" t="inlineStr">
        <is>
          <t>62</t>
        </is>
      </c>
      <c r="DG61" s="119" t="inlineStr">
        <is>
          <t>45,22x</t>
        </is>
      </c>
      <c r="DH61" s="120" t="inlineStr">
        <is>
          <t>97</t>
        </is>
      </c>
      <c r="DI61" s="121" t="inlineStr">
        <is>
          <t>4,84x</t>
        </is>
      </c>
      <c r="DJ61" s="122" t="inlineStr">
        <is>
          <t>74</t>
        </is>
      </c>
      <c r="DK61" s="123" t="inlineStr">
        <is>
          <t>21,91x</t>
        </is>
      </c>
      <c r="DL61" s="124" t="inlineStr">
        <is>
          <t>93</t>
        </is>
      </c>
      <c r="DM61" s="125" t="inlineStr">
        <is>
          <t>594</t>
        </is>
      </c>
      <c r="DN61" s="126" t="inlineStr">
        <is>
          <t>66</t>
        </is>
      </c>
      <c r="DO61" s="127" t="inlineStr">
        <is>
          <t>12,50%</t>
        </is>
      </c>
      <c r="DP61" s="128" t="inlineStr">
        <is>
          <t>3.828</t>
        </is>
      </c>
      <c r="DQ61" s="129" t="inlineStr">
        <is>
          <t>22</t>
        </is>
      </c>
      <c r="DR61" s="130" t="inlineStr">
        <is>
          <t>0,58%</t>
        </is>
      </c>
      <c r="DS61" s="131" t="inlineStr">
        <is>
          <t>1.627</t>
        </is>
      </c>
      <c r="DT61" s="132" t="inlineStr">
        <is>
          <t>1</t>
        </is>
      </c>
      <c r="DU61" s="133" t="inlineStr">
        <is>
          <t>0,06%</t>
        </is>
      </c>
      <c r="DV61" s="134" t="inlineStr">
        <is>
          <t>8.187</t>
        </is>
      </c>
      <c r="DW61" s="135" t="inlineStr">
        <is>
          <t>12</t>
        </is>
      </c>
      <c r="DX61" s="136" t="inlineStr">
        <is>
          <t>0,15%</t>
        </is>
      </c>
      <c r="DY61" s="137" t="inlineStr">
        <is>
          <t>PitchBook Research</t>
        </is>
      </c>
      <c r="DZ61" s="785">
        <f>HYPERLINK("https://my.pitchbook.com?c=55304-74", "View company online")</f>
      </c>
    </row>
    <row r="62">
      <c r="A62" s="139" t="inlineStr">
        <is>
          <t>56938-60</t>
        </is>
      </c>
      <c r="B62" s="140" t="inlineStr">
        <is>
          <t>Sol Voltaics</t>
        </is>
      </c>
      <c r="C62" s="141" t="inlineStr">
        <is>
          <t/>
        </is>
      </c>
      <c r="D62" s="142" t="inlineStr">
        <is>
          <t/>
        </is>
      </c>
      <c r="E62" s="143" t="inlineStr">
        <is>
          <t>56938-60</t>
        </is>
      </c>
      <c r="F62" s="144" t="inlineStr">
        <is>
          <t>Developer of nano-wires for solar cells designed to increase conventional solar panel efficiencies. The company's solar efficiency boosting technology SolFilm, a lightweight photonic film consisting of high-efficiency, gallium arsenide PV nanowires, converts high energy sunlight directly into power and is transparent for infra-red light. The infra-red light can be converted into power by an underlying CIGS or silicon cell in a stacked configuration, boosting conventional PV module efficiencies by 50% via ultra-high efficiency tandem modules</t>
        </is>
      </c>
      <c r="G62" s="145" t="inlineStr">
        <is>
          <t>Energy</t>
        </is>
      </c>
      <c r="H62" s="146" t="inlineStr">
        <is>
          <t>Energy Equipment</t>
        </is>
      </c>
      <c r="I62" s="147" t="inlineStr">
        <is>
          <t>Alternative Energy Equipment</t>
        </is>
      </c>
      <c r="J62" s="148" t="inlineStr">
        <is>
          <t>Alternative Energy Equipment*</t>
        </is>
      </c>
      <c r="K62" s="149" t="inlineStr">
        <is>
          <t>CleanTech, Nanotechnology</t>
        </is>
      </c>
      <c r="L62" s="150" t="inlineStr">
        <is>
          <t>Venture Capital-Backed</t>
        </is>
      </c>
      <c r="M62" s="151" t="n">
        <v>46.4</v>
      </c>
      <c r="N62" s="152" t="inlineStr">
        <is>
          <t>Generating Revenue/Not Profitable</t>
        </is>
      </c>
      <c r="O62" s="153" t="inlineStr">
        <is>
          <t>Privately Held (backing)</t>
        </is>
      </c>
      <c r="P62" s="154" t="inlineStr">
        <is>
          <t>Venture Capital</t>
        </is>
      </c>
      <c r="Q62" s="155" t="inlineStr">
        <is>
          <t>www.solvoltaics.com</t>
        </is>
      </c>
      <c r="R62" s="156" t="n">
        <v>40.0</v>
      </c>
      <c r="S62" s="157" t="inlineStr">
        <is>
          <t/>
        </is>
      </c>
      <c r="T62" s="158" t="inlineStr">
        <is>
          <t/>
        </is>
      </c>
      <c r="U62" s="159" t="n">
        <v>2007.0</v>
      </c>
      <c r="V62" s="160" t="inlineStr">
        <is>
          <t/>
        </is>
      </c>
      <c r="W62" s="161" t="inlineStr">
        <is>
          <t/>
        </is>
      </c>
      <c r="X62" s="162" t="inlineStr">
        <is>
          <t/>
        </is>
      </c>
      <c r="Y62" s="163" t="n">
        <v>0.47774</v>
      </c>
      <c r="Z62" s="164" t="inlineStr">
        <is>
          <t/>
        </is>
      </c>
      <c r="AA62" s="165" t="n">
        <v>-6.23818</v>
      </c>
      <c r="AB62" s="166" t="inlineStr">
        <is>
          <t/>
        </is>
      </c>
      <c r="AC62" s="167" t="n">
        <v>-5.27351</v>
      </c>
      <c r="AD62" s="168" t="inlineStr">
        <is>
          <t>FY 2015</t>
        </is>
      </c>
      <c r="AE62" s="169" t="inlineStr">
        <is>
          <t>51438-61P</t>
        </is>
      </c>
      <c r="AF62" s="170" t="inlineStr">
        <is>
          <t>Marie Svensson</t>
        </is>
      </c>
      <c r="AG62" s="171" t="inlineStr">
        <is>
          <t>Director, Finance</t>
        </is>
      </c>
      <c r="AH62" s="172" t="inlineStr">
        <is>
          <t>marie.svensson@solvoltaics.com</t>
        </is>
      </c>
      <c r="AI62" s="173" t="inlineStr">
        <is>
          <t/>
        </is>
      </c>
      <c r="AJ62" s="174" t="inlineStr">
        <is>
          <t>Lund, Sweden</t>
        </is>
      </c>
      <c r="AK62" s="175" t="inlineStr">
        <is>
          <t>Scheelevägen 22</t>
        </is>
      </c>
      <c r="AL62" s="176" t="inlineStr">
        <is>
          <t/>
        </is>
      </c>
      <c r="AM62" s="177" t="inlineStr">
        <is>
          <t>Lund</t>
        </is>
      </c>
      <c r="AN62" s="178" t="inlineStr">
        <is>
          <t/>
        </is>
      </c>
      <c r="AO62" s="179" t="inlineStr">
        <is>
          <t>223 63</t>
        </is>
      </c>
      <c r="AP62" s="180" t="inlineStr">
        <is>
          <t>Sweden</t>
        </is>
      </c>
      <c r="AQ62" s="181" t="inlineStr">
        <is>
          <t/>
        </is>
      </c>
      <c r="AR62" s="182" t="inlineStr">
        <is>
          <t/>
        </is>
      </c>
      <c r="AS62" s="183" t="inlineStr">
        <is>
          <t>info@solvoltaics.com</t>
        </is>
      </c>
      <c r="AT62" s="184" t="inlineStr">
        <is>
          <t>Europe</t>
        </is>
      </c>
      <c r="AU62" s="185" t="inlineStr">
        <is>
          <t>Northern Europe</t>
        </is>
      </c>
      <c r="AV62" s="186" t="inlineStr">
        <is>
          <t>The company raised $21.3 million of venture funding from lead investor Watrium on July 6, 2017. FAM, Kagra Gruppen, Industrifonden Nano Future Invest, Blue Marlin and Teknoinvest also participated in the round. The company will use the funding to accelerate commercialization of its solar efficiency boosting technology, SolFilm.</t>
        </is>
      </c>
      <c r="AW62" s="187" t="inlineStr">
        <is>
          <t>Blue Marlin AB, Foundation Asset Management, Horizon 2020, Individual Investor, Industrifonden, Kagra Gruppen, Nano Future Invest, Nordic Innovation, Provider Venture Partners, Riyadh Valley Company, Saoradh Energy Partners, Scatec, Swedish Energy Agency, Teknoinvest, Umoe, Vinnova, Watrium</t>
        </is>
      </c>
      <c r="AX62" s="188" t="n">
        <v>17.0</v>
      </c>
      <c r="AY62" s="189" t="inlineStr">
        <is>
          <t/>
        </is>
      </c>
      <c r="AZ62" s="190" t="inlineStr">
        <is>
          <t/>
        </is>
      </c>
      <c r="BA62" s="191" t="inlineStr">
        <is>
          <t/>
        </is>
      </c>
      <c r="BB62" s="192" t="inlineStr">
        <is>
          <t>Foundation Asset Management (www.fam.se), Industrifonden (www.industrifonden.com), Nordic Innovation (nordicinnovation.org), Provider Venture Partners (www.itprovider.com), Riyadh Valley Company (rvc.com.sa), Saoradh Energy Partners (www.saoradh.com), Scatec (www.scatec.no), Umoe (www.umoe.com), Vinnova (www.vinnova.se), Watrium (www.watrium.no)</t>
        </is>
      </c>
      <c r="BC62" s="193" t="inlineStr">
        <is>
          <t/>
        </is>
      </c>
      <c r="BD62" s="194" t="inlineStr">
        <is>
          <t/>
        </is>
      </c>
      <c r="BE62" s="195" t="inlineStr">
        <is>
          <t>Swedish Energy Agency (Debt Financing)</t>
        </is>
      </c>
      <c r="BF62" s="196" t="inlineStr">
        <is>
          <t>Swedish Energy Agency (Debt Financing), Apricum (Advisor: General)</t>
        </is>
      </c>
      <c r="BG62" s="197" t="n">
        <v>39634.0</v>
      </c>
      <c r="BH62" s="198" t="n">
        <v>0.77</v>
      </c>
      <c r="BI62" s="199" t="inlineStr">
        <is>
          <t>Actual</t>
        </is>
      </c>
      <c r="BJ62" s="200" t="inlineStr">
        <is>
          <t/>
        </is>
      </c>
      <c r="BK62" s="201" t="inlineStr">
        <is>
          <t/>
        </is>
      </c>
      <c r="BL62" s="202" t="inlineStr">
        <is>
          <t>Early Stage VC</t>
        </is>
      </c>
      <c r="BM62" s="203" t="inlineStr">
        <is>
          <t/>
        </is>
      </c>
      <c r="BN62" s="204" t="inlineStr">
        <is>
          <t/>
        </is>
      </c>
      <c r="BO62" s="205" t="inlineStr">
        <is>
          <t>Venture Capital</t>
        </is>
      </c>
      <c r="BP62" s="206" t="inlineStr">
        <is>
          <t/>
        </is>
      </c>
      <c r="BQ62" s="207" t="inlineStr">
        <is>
          <t/>
        </is>
      </c>
      <c r="BR62" s="208" t="inlineStr">
        <is>
          <t/>
        </is>
      </c>
      <c r="BS62" s="209" t="inlineStr">
        <is>
          <t>Completed</t>
        </is>
      </c>
      <c r="BT62" s="210" t="n">
        <v>42922.0</v>
      </c>
      <c r="BU62" s="211" t="n">
        <v>18.5</v>
      </c>
      <c r="BV62" s="212" t="inlineStr">
        <is>
          <t>Actual</t>
        </is>
      </c>
      <c r="BW62" s="213" t="inlineStr">
        <is>
          <t/>
        </is>
      </c>
      <c r="BX62" s="214" t="inlineStr">
        <is>
          <t/>
        </is>
      </c>
      <c r="BY62" s="215" t="inlineStr">
        <is>
          <t>Later Stage VC</t>
        </is>
      </c>
      <c r="BZ62" s="216" t="inlineStr">
        <is>
          <t/>
        </is>
      </c>
      <c r="CA62" s="217" t="inlineStr">
        <is>
          <t/>
        </is>
      </c>
      <c r="CB62" s="218" t="inlineStr">
        <is>
          <t>Venture Capital</t>
        </is>
      </c>
      <c r="CC62" s="219" t="inlineStr">
        <is>
          <t/>
        </is>
      </c>
      <c r="CD62" s="220" t="inlineStr">
        <is>
          <t/>
        </is>
      </c>
      <c r="CE62" s="221" t="inlineStr">
        <is>
          <t/>
        </is>
      </c>
      <c r="CF62" s="222" t="inlineStr">
        <is>
          <t>Completed</t>
        </is>
      </c>
      <c r="CG62" s="223" t="inlineStr">
        <is>
          <t>0,09%</t>
        </is>
      </c>
      <c r="CH62" s="224" t="inlineStr">
        <is>
          <t>82</t>
        </is>
      </c>
      <c r="CI62" s="225" t="inlineStr">
        <is>
          <t>-0,07%</t>
        </is>
      </c>
      <c r="CJ62" s="226" t="inlineStr">
        <is>
          <t>-45,81%</t>
        </is>
      </c>
      <c r="CK62" s="227" t="inlineStr">
        <is>
          <t>0,17%</t>
        </is>
      </c>
      <c r="CL62" s="228" t="inlineStr">
        <is>
          <t>91</t>
        </is>
      </c>
      <c r="CM62" s="229" t="inlineStr">
        <is>
          <t>0,00%</t>
        </is>
      </c>
      <c r="CN62" s="230" t="inlineStr">
        <is>
          <t>20</t>
        </is>
      </c>
      <c r="CO62" s="231" t="inlineStr">
        <is>
          <t>1,20%</t>
        </is>
      </c>
      <c r="CP62" s="232" t="inlineStr">
        <is>
          <t>94</t>
        </is>
      </c>
      <c r="CQ62" s="233" t="inlineStr">
        <is>
          <t>-0,86%</t>
        </is>
      </c>
      <c r="CR62" s="234" t="inlineStr">
        <is>
          <t>11</t>
        </is>
      </c>
      <c r="CS62" s="235" t="inlineStr">
        <is>
          <t/>
        </is>
      </c>
      <c r="CT62" s="236" t="inlineStr">
        <is>
          <t/>
        </is>
      </c>
      <c r="CU62" s="237" t="inlineStr">
        <is>
          <t>0,00%</t>
        </is>
      </c>
      <c r="CV62" s="238" t="inlineStr">
        <is>
          <t>21</t>
        </is>
      </c>
      <c r="CW62" s="239" t="inlineStr">
        <is>
          <t>1,45x</t>
        </is>
      </c>
      <c r="CX62" s="240" t="inlineStr">
        <is>
          <t>58</t>
        </is>
      </c>
      <c r="CY62" s="241" t="inlineStr">
        <is>
          <t>-0,01x</t>
        </is>
      </c>
      <c r="CZ62" s="242" t="inlineStr">
        <is>
          <t>-0,98%</t>
        </is>
      </c>
      <c r="DA62" s="243" t="inlineStr">
        <is>
          <t>2,81x</t>
        </is>
      </c>
      <c r="DB62" s="244" t="inlineStr">
        <is>
          <t>73</t>
        </is>
      </c>
      <c r="DC62" s="245" t="inlineStr">
        <is>
          <t>0,10x</t>
        </is>
      </c>
      <c r="DD62" s="246" t="inlineStr">
        <is>
          <t>13</t>
        </is>
      </c>
      <c r="DE62" s="247" t="inlineStr">
        <is>
          <t>0,98x</t>
        </is>
      </c>
      <c r="DF62" s="248" t="inlineStr">
        <is>
          <t>50</t>
        </is>
      </c>
      <c r="DG62" s="249" t="inlineStr">
        <is>
          <t>4,64x</t>
        </is>
      </c>
      <c r="DH62" s="250" t="inlineStr">
        <is>
          <t>78</t>
        </is>
      </c>
      <c r="DI62" s="251" t="inlineStr">
        <is>
          <t/>
        </is>
      </c>
      <c r="DJ62" s="252" t="inlineStr">
        <is>
          <t/>
        </is>
      </c>
      <c r="DK62" s="253" t="inlineStr">
        <is>
          <t>0,10x</t>
        </is>
      </c>
      <c r="DL62" s="254" t="inlineStr">
        <is>
          <t>16</t>
        </is>
      </c>
      <c r="DM62" s="255" t="inlineStr">
        <is>
          <t>452</t>
        </is>
      </c>
      <c r="DN62" s="256" t="inlineStr">
        <is>
          <t>-272</t>
        </is>
      </c>
      <c r="DO62" s="257" t="inlineStr">
        <is>
          <t>-37,57%</t>
        </is>
      </c>
      <c r="DP62" s="258" t="inlineStr">
        <is>
          <t/>
        </is>
      </c>
      <c r="DQ62" s="259" t="inlineStr">
        <is>
          <t/>
        </is>
      </c>
      <c r="DR62" s="260" t="inlineStr">
        <is>
          <t/>
        </is>
      </c>
      <c r="DS62" s="261" t="inlineStr">
        <is>
          <t>167</t>
        </is>
      </c>
      <c r="DT62" s="262" t="inlineStr">
        <is>
          <t>-2</t>
        </is>
      </c>
      <c r="DU62" s="263" t="inlineStr">
        <is>
          <t>-1,18%</t>
        </is>
      </c>
      <c r="DV62" s="264" t="inlineStr">
        <is>
          <t>36</t>
        </is>
      </c>
      <c r="DW62" s="265" t="inlineStr">
        <is>
          <t>0</t>
        </is>
      </c>
      <c r="DX62" s="266" t="inlineStr">
        <is>
          <t>0,00%</t>
        </is>
      </c>
      <c r="DY62" s="267" t="inlineStr">
        <is>
          <t>PitchBook Research</t>
        </is>
      </c>
      <c r="DZ62" s="786">
        <f>HYPERLINK("https://my.pitchbook.com?c=56938-60", "View company online")</f>
      </c>
    </row>
    <row r="63">
      <c r="A63" s="9" t="inlineStr">
        <is>
          <t>55715-23</t>
        </is>
      </c>
      <c r="B63" s="10" t="inlineStr">
        <is>
          <t>ZnanyLekarz</t>
        </is>
      </c>
      <c r="C63" s="11" t="inlineStr">
        <is>
          <t/>
        </is>
      </c>
      <c r="D63" s="12" t="inlineStr">
        <is>
          <t>DocPlanner</t>
        </is>
      </c>
      <c r="E63" s="13" t="inlineStr">
        <is>
          <t>55715-23</t>
        </is>
      </c>
      <c r="F63" s="14" t="inlineStr">
        <is>
          <t>Developer of an online medical and dental appointment scheduling system designed to make the healthcare experience more human. The company's DocPlanner system is an online healthcare platform that enable users to find local physicians online and book appointments, providing patients with a space to find and review the best doctor according to their needs.</t>
        </is>
      </c>
      <c r="G63" s="15" t="inlineStr">
        <is>
          <t>Information Technology</t>
        </is>
      </c>
      <c r="H63" s="16" t="inlineStr">
        <is>
          <t>Software</t>
        </is>
      </c>
      <c r="I63" s="17" t="inlineStr">
        <is>
          <t>Social/Platform Software</t>
        </is>
      </c>
      <c r="J63" s="18" t="inlineStr">
        <is>
          <t>Social/Platform Software*; Information Services (B2C)</t>
        </is>
      </c>
      <c r="K63" s="19" t="inlineStr">
        <is>
          <t>HealthTech, Mobile</t>
        </is>
      </c>
      <c r="L63" s="20" t="inlineStr">
        <is>
          <t>Venture Capital-Backed</t>
        </is>
      </c>
      <c r="M63" s="21" t="n">
        <v>45.77</v>
      </c>
      <c r="N63" s="22" t="inlineStr">
        <is>
          <t>Generating Revenue</t>
        </is>
      </c>
      <c r="O63" s="23" t="inlineStr">
        <is>
          <t>Privately Held (backing)</t>
        </is>
      </c>
      <c r="P63" s="24" t="inlineStr">
        <is>
          <t>Venture Capital</t>
        </is>
      </c>
      <c r="Q63" s="25" t="inlineStr">
        <is>
          <t>www.znanylekarz.pl</t>
        </is>
      </c>
      <c r="R63" s="26" t="n">
        <v>300.0</v>
      </c>
      <c r="S63" s="27" t="inlineStr">
        <is>
          <t/>
        </is>
      </c>
      <c r="T63" s="28" t="inlineStr">
        <is>
          <t/>
        </is>
      </c>
      <c r="U63" s="29" t="n">
        <v>2010.0</v>
      </c>
      <c r="V63" s="30" t="inlineStr">
        <is>
          <t/>
        </is>
      </c>
      <c r="W63" s="31" t="inlineStr">
        <is>
          <t/>
        </is>
      </c>
      <c r="X63" s="32" t="inlineStr">
        <is>
          <t/>
        </is>
      </c>
      <c r="Y63" s="33" t="inlineStr">
        <is>
          <t/>
        </is>
      </c>
      <c r="Z63" s="34" t="inlineStr">
        <is>
          <t/>
        </is>
      </c>
      <c r="AA63" s="35" t="inlineStr">
        <is>
          <t/>
        </is>
      </c>
      <c r="AB63" s="36" t="inlineStr">
        <is>
          <t/>
        </is>
      </c>
      <c r="AC63" s="37" t="inlineStr">
        <is>
          <t/>
        </is>
      </c>
      <c r="AD63" s="38" t="inlineStr">
        <is>
          <t/>
        </is>
      </c>
      <c r="AE63" s="39" t="inlineStr">
        <is>
          <t>51633-64P</t>
        </is>
      </c>
      <c r="AF63" s="40" t="inlineStr">
        <is>
          <t>Mariusz Gralewski</t>
        </is>
      </c>
      <c r="AG63" s="41" t="inlineStr">
        <is>
          <t>Co-Founder &amp; Chief Executive Officer</t>
        </is>
      </c>
      <c r="AH63" s="42" t="inlineStr">
        <is>
          <t>mariusz.gralewski@znanylekarz.pl</t>
        </is>
      </c>
      <c r="AI63" s="43" t="inlineStr">
        <is>
          <t/>
        </is>
      </c>
      <c r="AJ63" s="44" t="inlineStr">
        <is>
          <t>Warszawa, Poland</t>
        </is>
      </c>
      <c r="AK63" s="45" t="inlineStr">
        <is>
          <t>Ul. Kolejowa 5/7</t>
        </is>
      </c>
      <c r="AL63" s="46" t="inlineStr">
        <is>
          <t/>
        </is>
      </c>
      <c r="AM63" s="47" t="inlineStr">
        <is>
          <t>Warszawa</t>
        </is>
      </c>
      <c r="AN63" s="48" t="inlineStr">
        <is>
          <t/>
        </is>
      </c>
      <c r="AO63" s="49" t="inlineStr">
        <is>
          <t>01-217</t>
        </is>
      </c>
      <c r="AP63" s="50" t="inlineStr">
        <is>
          <t>Poland</t>
        </is>
      </c>
      <c r="AQ63" s="51" t="inlineStr">
        <is>
          <t/>
        </is>
      </c>
      <c r="AR63" s="52" t="inlineStr">
        <is>
          <t/>
        </is>
      </c>
      <c r="AS63" s="53" t="inlineStr">
        <is>
          <t>contact@docplanner.com</t>
        </is>
      </c>
      <c r="AT63" s="54" t="inlineStr">
        <is>
          <t>Europe</t>
        </is>
      </c>
      <c r="AU63" s="55" t="inlineStr">
        <is>
          <t>Eastern Europe</t>
        </is>
      </c>
      <c r="AV63" s="56" t="inlineStr">
        <is>
          <t>The company raised EUR 15 million of Series D venture funding in a round led by Target Global and Enern on May 24, 2017. One Peak Partners also participated in this round. The company, which has raised approximately EUR 46 million to date, will use the new funds for expansion into Latin America with the opening of new offices in Brazil and Mexico over the next six months, for development of advanced software for doctors and for marketing and sales activities in core markets in Southern Europe and Latin America.</t>
        </is>
      </c>
      <c r="AW63" s="57" t="inlineStr">
        <is>
          <t>EBRD Venture Capital Investment Programme, Enern, Fabrice Grinda, Julien Coustaury, Lukasz Gadowski, One Peak Partners, Paul Holliman, Piton Capital, Point Nine Capital, RTAventures, Target Global, Winter Capital Advisors</t>
        </is>
      </c>
      <c r="AX63" s="58" t="n">
        <v>12.0</v>
      </c>
      <c r="AY63" s="59" t="inlineStr">
        <is>
          <t/>
        </is>
      </c>
      <c r="AZ63" s="60" t="inlineStr">
        <is>
          <t/>
        </is>
      </c>
      <c r="BA63" s="61" t="inlineStr">
        <is>
          <t/>
        </is>
      </c>
      <c r="BB63" s="62" t="inlineStr">
        <is>
          <t>EBRD Venture Capital Investment Programme (www.ebrdvcip.com), Enern (www.enern.eu), Fabrice Grinda (www.fabricegrinda.com), Lukasz Gadowski (www.lukaszgadowski.com), One Peak Partners (www.onepeakpartners.com), Piton Capital (www.pitoncap.com), Point Nine Capital (www.pointninecap.com), RTAventures (www.rtaventures.com), Target Global (www.targetglobal.vc), Winter Capital Advisors (www.wintercapital.com)</t>
        </is>
      </c>
      <c r="BC63" s="63" t="inlineStr">
        <is>
          <t/>
        </is>
      </c>
      <c r="BD63" s="64" t="inlineStr">
        <is>
          <t/>
        </is>
      </c>
      <c r="BE63" s="65" t="inlineStr">
        <is>
          <t/>
        </is>
      </c>
      <c r="BF63" s="66" t="inlineStr">
        <is>
          <t/>
        </is>
      </c>
      <c r="BG63" s="67" t="n">
        <v>41246.0</v>
      </c>
      <c r="BH63" s="68" t="n">
        <v>0.76</v>
      </c>
      <c r="BI63" s="69" t="inlineStr">
        <is>
          <t>Actual</t>
        </is>
      </c>
      <c r="BJ63" s="70" t="inlineStr">
        <is>
          <t/>
        </is>
      </c>
      <c r="BK63" s="71" t="inlineStr">
        <is>
          <t/>
        </is>
      </c>
      <c r="BL63" s="72" t="inlineStr">
        <is>
          <t>Early Stage VC</t>
        </is>
      </c>
      <c r="BM63" s="73" t="inlineStr">
        <is>
          <t>Series A</t>
        </is>
      </c>
      <c r="BN63" s="74" t="inlineStr">
        <is>
          <t/>
        </is>
      </c>
      <c r="BO63" s="75" t="inlineStr">
        <is>
          <t>Venture Capital</t>
        </is>
      </c>
      <c r="BP63" s="76" t="inlineStr">
        <is>
          <t/>
        </is>
      </c>
      <c r="BQ63" s="77" t="inlineStr">
        <is>
          <t/>
        </is>
      </c>
      <c r="BR63" s="78" t="inlineStr">
        <is>
          <t/>
        </is>
      </c>
      <c r="BS63" s="79" t="inlineStr">
        <is>
          <t>Completed</t>
        </is>
      </c>
      <c r="BT63" s="80" t="n">
        <v>42879.0</v>
      </c>
      <c r="BU63" s="81" t="n">
        <v>15.0</v>
      </c>
      <c r="BV63" s="82" t="inlineStr">
        <is>
          <t>Actual</t>
        </is>
      </c>
      <c r="BW63" s="83" t="inlineStr">
        <is>
          <t/>
        </is>
      </c>
      <c r="BX63" s="84" t="inlineStr">
        <is>
          <t/>
        </is>
      </c>
      <c r="BY63" s="85" t="inlineStr">
        <is>
          <t>Later Stage VC</t>
        </is>
      </c>
      <c r="BZ63" s="86" t="inlineStr">
        <is>
          <t>Series D</t>
        </is>
      </c>
      <c r="CA63" s="87" t="inlineStr">
        <is>
          <t/>
        </is>
      </c>
      <c r="CB63" s="88" t="inlineStr">
        <is>
          <t>Venture Capital</t>
        </is>
      </c>
      <c r="CC63" s="89" t="inlineStr">
        <is>
          <t/>
        </is>
      </c>
      <c r="CD63" s="90" t="inlineStr">
        <is>
          <t/>
        </is>
      </c>
      <c r="CE63" s="91" t="inlineStr">
        <is>
          <t/>
        </is>
      </c>
      <c r="CF63" s="92" t="inlineStr">
        <is>
          <t>Completed</t>
        </is>
      </c>
      <c r="CG63" s="93" t="inlineStr">
        <is>
          <t>-8,54%</t>
        </is>
      </c>
      <c r="CH63" s="94" t="inlineStr">
        <is>
          <t>1</t>
        </is>
      </c>
      <c r="CI63" s="95" t="inlineStr">
        <is>
          <t>-0,02%</t>
        </is>
      </c>
      <c r="CJ63" s="96" t="inlineStr">
        <is>
          <t>-0,23%</t>
        </is>
      </c>
      <c r="CK63" s="97" t="inlineStr">
        <is>
          <t>-17,13%</t>
        </is>
      </c>
      <c r="CL63" s="98" t="inlineStr">
        <is>
          <t>1</t>
        </is>
      </c>
      <c r="CM63" s="99" t="inlineStr">
        <is>
          <t>0,05%</t>
        </is>
      </c>
      <c r="CN63" s="100" t="inlineStr">
        <is>
          <t>49</t>
        </is>
      </c>
      <c r="CO63" s="101" t="inlineStr">
        <is>
          <t>-34,23%</t>
        </is>
      </c>
      <c r="CP63" s="102" t="inlineStr">
        <is>
          <t>1</t>
        </is>
      </c>
      <c r="CQ63" s="103" t="inlineStr">
        <is>
          <t>-0,03%</t>
        </is>
      </c>
      <c r="CR63" s="104" t="inlineStr">
        <is>
          <t>20</t>
        </is>
      </c>
      <c r="CS63" s="105" t="inlineStr">
        <is>
          <t>0,00%</t>
        </is>
      </c>
      <c r="CT63" s="106" t="inlineStr">
        <is>
          <t>18</t>
        </is>
      </c>
      <c r="CU63" s="107" t="inlineStr">
        <is>
          <t>0,11%</t>
        </is>
      </c>
      <c r="CV63" s="108" t="inlineStr">
        <is>
          <t>67</t>
        </is>
      </c>
      <c r="CW63" s="109" t="inlineStr">
        <is>
          <t>75,68x</t>
        </is>
      </c>
      <c r="CX63" s="110" t="inlineStr">
        <is>
          <t>98</t>
        </is>
      </c>
      <c r="CY63" s="111" t="inlineStr">
        <is>
          <t>-0,85x</t>
        </is>
      </c>
      <c r="CZ63" s="112" t="inlineStr">
        <is>
          <t>-1,11%</t>
        </is>
      </c>
      <c r="DA63" s="113" t="inlineStr">
        <is>
          <t>58,04x</t>
        </is>
      </c>
      <c r="DB63" s="114" t="inlineStr">
        <is>
          <t>98</t>
        </is>
      </c>
      <c r="DC63" s="115" t="inlineStr">
        <is>
          <t>93,32x</t>
        </is>
      </c>
      <c r="DD63" s="116" t="inlineStr">
        <is>
          <t>96</t>
        </is>
      </c>
      <c r="DE63" s="117" t="inlineStr">
        <is>
          <t>5,08x</t>
        </is>
      </c>
      <c r="DF63" s="118" t="inlineStr">
        <is>
          <t>81</t>
        </is>
      </c>
      <c r="DG63" s="119" t="inlineStr">
        <is>
          <t>111,00x</t>
        </is>
      </c>
      <c r="DH63" s="120" t="inlineStr">
        <is>
          <t>99</t>
        </is>
      </c>
      <c r="DI63" s="121" t="inlineStr">
        <is>
          <t>185,41x</t>
        </is>
      </c>
      <c r="DJ63" s="122" t="inlineStr">
        <is>
          <t>97</t>
        </is>
      </c>
      <c r="DK63" s="123" t="inlineStr">
        <is>
          <t>1,22x</t>
        </is>
      </c>
      <c r="DL63" s="124" t="inlineStr">
        <is>
          <t>54</t>
        </is>
      </c>
      <c r="DM63" s="125" t="inlineStr">
        <is>
          <t>1.917</t>
        </is>
      </c>
      <c r="DN63" s="126" t="inlineStr">
        <is>
          <t>-171</t>
        </is>
      </c>
      <c r="DO63" s="127" t="inlineStr">
        <is>
          <t>-8,19%</t>
        </is>
      </c>
      <c r="DP63" s="128" t="inlineStr">
        <is>
          <t>146.873</t>
        </is>
      </c>
      <c r="DQ63" s="129" t="inlineStr">
        <is>
          <t>43</t>
        </is>
      </c>
      <c r="DR63" s="130" t="inlineStr">
        <is>
          <t>0,03%</t>
        </is>
      </c>
      <c r="DS63" s="131" t="inlineStr">
        <is>
          <t>4.025</t>
        </is>
      </c>
      <c r="DT63" s="132" t="inlineStr">
        <is>
          <t>-38</t>
        </is>
      </c>
      <c r="DU63" s="133" t="inlineStr">
        <is>
          <t>-0,94%</t>
        </is>
      </c>
      <c r="DV63" s="134" t="inlineStr">
        <is>
          <t>456</t>
        </is>
      </c>
      <c r="DW63" s="135" t="inlineStr">
        <is>
          <t>0</t>
        </is>
      </c>
      <c r="DX63" s="136" t="inlineStr">
        <is>
          <t>0,00%</t>
        </is>
      </c>
      <c r="DY63" s="137" t="inlineStr">
        <is>
          <t>PitchBook Research</t>
        </is>
      </c>
      <c r="DZ63" s="785">
        <f>HYPERLINK("https://my.pitchbook.com?c=55715-23", "View company online")</f>
      </c>
    </row>
    <row r="64">
      <c r="A64" s="139" t="inlineStr">
        <is>
          <t>109048-42</t>
        </is>
      </c>
      <c r="B64" s="140" t="inlineStr">
        <is>
          <t>Protix</t>
        </is>
      </c>
      <c r="C64" s="141" t="inlineStr">
        <is>
          <t/>
        </is>
      </c>
      <c r="D64" s="142" t="inlineStr">
        <is>
          <t/>
        </is>
      </c>
      <c r="E64" s="143" t="inlineStr">
        <is>
          <t>109048-42</t>
        </is>
      </c>
      <c r="F64" s="144" t="inlineStr">
        <is>
          <t>Provider of insects for animal feed by converting organic residual streams. The company offer a low-impact protein alternative that can be cultivated on a variety of food scraps of meat, fish and dairy products, serving as insect proteins for the animal feed.</t>
        </is>
      </c>
      <c r="G64" s="145" t="inlineStr">
        <is>
          <t>Materials and Resources</t>
        </is>
      </c>
      <c r="H64" s="146" t="inlineStr">
        <is>
          <t>Agriculture</t>
        </is>
      </c>
      <c r="I64" s="147" t="inlineStr">
        <is>
          <t>Animal Husbandry</t>
        </is>
      </c>
      <c r="J64" s="148" t="inlineStr">
        <is>
          <t>Animal Husbandry*</t>
        </is>
      </c>
      <c r="K64" s="149" t="inlineStr">
        <is>
          <t>AgTech</t>
        </is>
      </c>
      <c r="L64" s="150" t="inlineStr">
        <is>
          <t>Venture Capital-Backed</t>
        </is>
      </c>
      <c r="M64" s="151" t="n">
        <v>45.0</v>
      </c>
      <c r="N64" s="152" t="inlineStr">
        <is>
          <t>Generating Revenue</t>
        </is>
      </c>
      <c r="O64" s="153" t="inlineStr">
        <is>
          <t>Privately Held (backing)</t>
        </is>
      </c>
      <c r="P64" s="154" t="inlineStr">
        <is>
          <t>Venture Capital</t>
        </is>
      </c>
      <c r="Q64" s="155" t="inlineStr">
        <is>
          <t>www.protix.eu</t>
        </is>
      </c>
      <c r="R64" s="156" t="n">
        <v>26.0</v>
      </c>
      <c r="S64" s="157" t="inlineStr">
        <is>
          <t/>
        </is>
      </c>
      <c r="T64" s="158" t="inlineStr">
        <is>
          <t/>
        </is>
      </c>
      <c r="U64" s="159" t="n">
        <v>2009.0</v>
      </c>
      <c r="V64" s="160" t="inlineStr">
        <is>
          <t/>
        </is>
      </c>
      <c r="W64" s="161" t="inlineStr">
        <is>
          <t/>
        </is>
      </c>
      <c r="X64" s="162" t="inlineStr">
        <is>
          <t/>
        </is>
      </c>
      <c r="Y64" s="163" t="inlineStr">
        <is>
          <t/>
        </is>
      </c>
      <c r="Z64" s="164" t="inlineStr">
        <is>
          <t/>
        </is>
      </c>
      <c r="AA64" s="165" t="inlineStr">
        <is>
          <t/>
        </is>
      </c>
      <c r="AB64" s="166" t="inlineStr">
        <is>
          <t/>
        </is>
      </c>
      <c r="AC64" s="167" t="inlineStr">
        <is>
          <t/>
        </is>
      </c>
      <c r="AD64" s="168" t="inlineStr">
        <is>
          <t/>
        </is>
      </c>
      <c r="AE64" s="169" t="inlineStr">
        <is>
          <t>133480-63P</t>
        </is>
      </c>
      <c r="AF64" s="170" t="inlineStr">
        <is>
          <t>Kees Aarts</t>
        </is>
      </c>
      <c r="AG64" s="171" t="inlineStr">
        <is>
          <t>Co-Founder &amp; Chief Executive Officer</t>
        </is>
      </c>
      <c r="AH64" s="172" t="inlineStr">
        <is>
          <t>kees.aarts@protix.eu</t>
        </is>
      </c>
      <c r="AI64" s="173" t="inlineStr">
        <is>
          <t>+31 (0)16 278 2501</t>
        </is>
      </c>
      <c r="AJ64" s="174" t="inlineStr">
        <is>
          <t>Dongen, Netherlands</t>
        </is>
      </c>
      <c r="AK64" s="175" t="inlineStr">
        <is>
          <t>Industriestraat 3</t>
        </is>
      </c>
      <c r="AL64" s="176" t="inlineStr">
        <is>
          <t/>
        </is>
      </c>
      <c r="AM64" s="177" t="inlineStr">
        <is>
          <t>Dongen</t>
        </is>
      </c>
      <c r="AN64" s="178" t="inlineStr">
        <is>
          <t/>
        </is>
      </c>
      <c r="AO64" s="179" t="inlineStr">
        <is>
          <t>5107</t>
        </is>
      </c>
      <c r="AP64" s="180" t="inlineStr">
        <is>
          <t>Netherlands</t>
        </is>
      </c>
      <c r="AQ64" s="181" t="inlineStr">
        <is>
          <t>+31 (0)16 278 2501</t>
        </is>
      </c>
      <c r="AR64" s="182" t="inlineStr">
        <is>
          <t/>
        </is>
      </c>
      <c r="AS64" s="183" t="inlineStr">
        <is>
          <t>info@protix.eu</t>
        </is>
      </c>
      <c r="AT64" s="184" t="inlineStr">
        <is>
          <t>Europe</t>
        </is>
      </c>
      <c r="AU64" s="185" t="inlineStr">
        <is>
          <t>Western Europe</t>
        </is>
      </c>
      <c r="AV64" s="186" t="inlineStr">
        <is>
          <t>The company raised EUR 45 million of venture funding from Aqua Spark, Rabobank, Brabantse Ontwikkelings Maatschappij and various private investors on June 13, 2017. The company intends to use the funds to expand their production capacity of insect proteins, deepen their R&amp;D, diversify to other markets like food, to serve their existing and new customers, seek great M&amp;A opportunities and hire the best people.</t>
        </is>
      </c>
      <c r="AW64" s="187" t="inlineStr">
        <is>
          <t>Aqua-Spark, Brabant Life Sciences Seed Fund, Brabantse Ontwikkelings Maatschappij, NBI Investors, Rabobank Group</t>
        </is>
      </c>
      <c r="AX64" s="188" t="n">
        <v>5.0</v>
      </c>
      <c r="AY64" s="189" t="inlineStr">
        <is>
          <t/>
        </is>
      </c>
      <c r="AZ64" s="190" t="inlineStr">
        <is>
          <t/>
        </is>
      </c>
      <c r="BA64" s="191" t="inlineStr">
        <is>
          <t/>
        </is>
      </c>
      <c r="BB64" s="192" t="inlineStr">
        <is>
          <t>Aqua-Spark (www.aqua-spark.nl), Brabant Life Sciences Seed Fund (www.blsf.nl), Brabantse Ontwikkelings Maatschappij (www.bom.nl), NBI Investors (www.nbi-investors.nl), Rabobank Group (www.rabobank.com)</t>
        </is>
      </c>
      <c r="BC64" s="193" t="inlineStr">
        <is>
          <t/>
        </is>
      </c>
      <c r="BD64" s="194" t="inlineStr">
        <is>
          <t/>
        </is>
      </c>
      <c r="BE64" s="195" t="inlineStr">
        <is>
          <t/>
        </is>
      </c>
      <c r="BF64" s="196" t="inlineStr">
        <is>
          <t/>
        </is>
      </c>
      <c r="BG64" s="197" t="n">
        <v>40430.0</v>
      </c>
      <c r="BH64" s="198" t="inlineStr">
        <is>
          <t/>
        </is>
      </c>
      <c r="BI64" s="199" t="inlineStr">
        <is>
          <t/>
        </is>
      </c>
      <c r="BJ64" s="200" t="inlineStr">
        <is>
          <t/>
        </is>
      </c>
      <c r="BK64" s="201" t="inlineStr">
        <is>
          <t/>
        </is>
      </c>
      <c r="BL64" s="202" t="inlineStr">
        <is>
          <t>Early Stage VC</t>
        </is>
      </c>
      <c r="BM64" s="203" t="inlineStr">
        <is>
          <t>Series A</t>
        </is>
      </c>
      <c r="BN64" s="204" t="inlineStr">
        <is>
          <t/>
        </is>
      </c>
      <c r="BO64" s="205" t="inlineStr">
        <is>
          <t>Venture Capital</t>
        </is>
      </c>
      <c r="BP64" s="206" t="inlineStr">
        <is>
          <t/>
        </is>
      </c>
      <c r="BQ64" s="207" t="inlineStr">
        <is>
          <t/>
        </is>
      </c>
      <c r="BR64" s="208" t="inlineStr">
        <is>
          <t/>
        </is>
      </c>
      <c r="BS64" s="209" t="inlineStr">
        <is>
          <t>Completed</t>
        </is>
      </c>
      <c r="BT64" s="210" t="n">
        <v>42899.0</v>
      </c>
      <c r="BU64" s="211" t="n">
        <v>45.0</v>
      </c>
      <c r="BV64" s="212" t="inlineStr">
        <is>
          <t>Actual</t>
        </is>
      </c>
      <c r="BW64" s="213" t="inlineStr">
        <is>
          <t/>
        </is>
      </c>
      <c r="BX64" s="214" t="inlineStr">
        <is>
          <t/>
        </is>
      </c>
      <c r="BY64" s="215" t="inlineStr">
        <is>
          <t>Later Stage VC</t>
        </is>
      </c>
      <c r="BZ64" s="216" t="inlineStr">
        <is>
          <t/>
        </is>
      </c>
      <c r="CA64" s="217" t="inlineStr">
        <is>
          <t/>
        </is>
      </c>
      <c r="CB64" s="218" t="inlineStr">
        <is>
          <t>Venture Capital</t>
        </is>
      </c>
      <c r="CC64" s="219" t="inlineStr">
        <is>
          <t/>
        </is>
      </c>
      <c r="CD64" s="220" t="inlineStr">
        <is>
          <t/>
        </is>
      </c>
      <c r="CE64" s="221" t="inlineStr">
        <is>
          <t/>
        </is>
      </c>
      <c r="CF64" s="222" t="inlineStr">
        <is>
          <t>Completed</t>
        </is>
      </c>
      <c r="CG64" s="223" t="inlineStr">
        <is>
          <t>-2,41%</t>
        </is>
      </c>
      <c r="CH64" s="224" t="inlineStr">
        <is>
          <t>8</t>
        </is>
      </c>
      <c r="CI64" s="225" t="inlineStr">
        <is>
          <t>0,06%</t>
        </is>
      </c>
      <c r="CJ64" s="226" t="inlineStr">
        <is>
          <t>2,51%</t>
        </is>
      </c>
      <c r="CK64" s="227" t="inlineStr">
        <is>
          <t>-6,12%</t>
        </is>
      </c>
      <c r="CL64" s="228" t="inlineStr">
        <is>
          <t>6</t>
        </is>
      </c>
      <c r="CM64" s="229" t="inlineStr">
        <is>
          <t>1,30%</t>
        </is>
      </c>
      <c r="CN64" s="230" t="inlineStr">
        <is>
          <t>97</t>
        </is>
      </c>
      <c r="CO64" s="231" t="inlineStr">
        <is>
          <t>-11,54%</t>
        </is>
      </c>
      <c r="CP64" s="232" t="inlineStr">
        <is>
          <t>11</t>
        </is>
      </c>
      <c r="CQ64" s="233" t="inlineStr">
        <is>
          <t>-0,70%</t>
        </is>
      </c>
      <c r="CR64" s="234" t="inlineStr">
        <is>
          <t>13</t>
        </is>
      </c>
      <c r="CS64" s="235" t="inlineStr">
        <is>
          <t>2,09%</t>
        </is>
      </c>
      <c r="CT64" s="236" t="inlineStr">
        <is>
          <t>98</t>
        </is>
      </c>
      <c r="CU64" s="237" t="inlineStr">
        <is>
          <t>0,52%</t>
        </is>
      </c>
      <c r="CV64" s="238" t="inlineStr">
        <is>
          <t>91</t>
        </is>
      </c>
      <c r="CW64" s="239" t="inlineStr">
        <is>
          <t>3,02x</t>
        </is>
      </c>
      <c r="CX64" s="240" t="inlineStr">
        <is>
          <t>72</t>
        </is>
      </c>
      <c r="CY64" s="241" t="inlineStr">
        <is>
          <t>-0,02x</t>
        </is>
      </c>
      <c r="CZ64" s="242" t="inlineStr">
        <is>
          <t>-0,78%</t>
        </is>
      </c>
      <c r="DA64" s="243" t="inlineStr">
        <is>
          <t>4,54x</t>
        </is>
      </c>
      <c r="DB64" s="244" t="inlineStr">
        <is>
          <t>80</t>
        </is>
      </c>
      <c r="DC64" s="245" t="inlineStr">
        <is>
          <t>1,51x</t>
        </is>
      </c>
      <c r="DD64" s="246" t="inlineStr">
        <is>
          <t>56</t>
        </is>
      </c>
      <c r="DE64" s="247" t="inlineStr">
        <is>
          <t>2,40x</t>
        </is>
      </c>
      <c r="DF64" s="248" t="inlineStr">
        <is>
          <t>69</t>
        </is>
      </c>
      <c r="DG64" s="249" t="inlineStr">
        <is>
          <t>6,67x</t>
        </is>
      </c>
      <c r="DH64" s="250" t="inlineStr">
        <is>
          <t>82</t>
        </is>
      </c>
      <c r="DI64" s="251" t="inlineStr">
        <is>
          <t>0,20x</t>
        </is>
      </c>
      <c r="DJ64" s="252" t="inlineStr">
        <is>
          <t>23</t>
        </is>
      </c>
      <c r="DK64" s="253" t="inlineStr">
        <is>
          <t>2,82x</t>
        </is>
      </c>
      <c r="DL64" s="254" t="inlineStr">
        <is>
          <t>70</t>
        </is>
      </c>
      <c r="DM64" s="255" t="inlineStr">
        <is>
          <t>915</t>
        </is>
      </c>
      <c r="DN64" s="256" t="inlineStr">
        <is>
          <t>-69</t>
        </is>
      </c>
      <c r="DO64" s="257" t="inlineStr">
        <is>
          <t>-7,01%</t>
        </is>
      </c>
      <c r="DP64" s="258" t="inlineStr">
        <is>
          <t>158</t>
        </is>
      </c>
      <c r="DQ64" s="259" t="inlineStr">
        <is>
          <t>2</t>
        </is>
      </c>
      <c r="DR64" s="260" t="inlineStr">
        <is>
          <t>1,28%</t>
        </is>
      </c>
      <c r="DS64" s="261" t="inlineStr">
        <is>
          <t>241</t>
        </is>
      </c>
      <c r="DT64" s="262" t="inlineStr">
        <is>
          <t>-2</t>
        </is>
      </c>
      <c r="DU64" s="263" t="inlineStr">
        <is>
          <t>-0,82%</t>
        </is>
      </c>
      <c r="DV64" s="264" t="inlineStr">
        <is>
          <t>1.050</t>
        </is>
      </c>
      <c r="DW64" s="265" t="inlineStr">
        <is>
          <t>5</t>
        </is>
      </c>
      <c r="DX64" s="266" t="inlineStr">
        <is>
          <t>0,48%</t>
        </is>
      </c>
      <c r="DY64" s="267" t="inlineStr">
        <is>
          <t>PitchBook Research</t>
        </is>
      </c>
      <c r="DZ64" s="786">
        <f>HYPERLINK("https://my.pitchbook.com?c=109048-42", "View company online")</f>
      </c>
    </row>
    <row r="65">
      <c r="A65" s="9" t="inlineStr">
        <is>
          <t>58818-79</t>
        </is>
      </c>
      <c r="B65" s="10" t="inlineStr">
        <is>
          <t>Typeform</t>
        </is>
      </c>
      <c r="C65" s="11" t="inlineStr">
        <is>
          <t/>
        </is>
      </c>
      <c r="D65" s="12" t="inlineStr">
        <is>
          <t/>
        </is>
      </c>
      <c r="E65" s="13" t="inlineStr">
        <is>
          <t>58818-79</t>
        </is>
      </c>
      <c r="F65" s="14" t="inlineStr">
        <is>
          <t>Provider of a cloud-based SaaS web application designed to offer social, engaging and conversational online forms. The company's cloud-based SaaS web application combines the flow of real-life conversations with the data collection capability of web forms for a more natural and more engaging user experience, enabling customers to create and distribute dynamic, mobile-optimized forms to collect data for a variety of business uses.</t>
        </is>
      </c>
      <c r="G65" s="15" t="inlineStr">
        <is>
          <t>Information Technology</t>
        </is>
      </c>
      <c r="H65" s="16" t="inlineStr">
        <is>
          <t>Software</t>
        </is>
      </c>
      <c r="I65" s="17" t="inlineStr">
        <is>
          <t>Database Software</t>
        </is>
      </c>
      <c r="J65" s="18" t="inlineStr">
        <is>
          <t>Database Software*; Media and Information Services (B2B); Business/Productivity Software</t>
        </is>
      </c>
      <c r="K65" s="19" t="inlineStr">
        <is>
          <t>Mobile, SaaS</t>
        </is>
      </c>
      <c r="L65" s="20" t="inlineStr">
        <is>
          <t>Venture Capital-Backed</t>
        </is>
      </c>
      <c r="M65" s="21" t="n">
        <v>44.46</v>
      </c>
      <c r="N65" s="22" t="inlineStr">
        <is>
          <t>Generating Revenue</t>
        </is>
      </c>
      <c r="O65" s="23" t="inlineStr">
        <is>
          <t>Privately Held (backing)</t>
        </is>
      </c>
      <c r="P65" s="24" t="inlineStr">
        <is>
          <t>Venture Capital</t>
        </is>
      </c>
      <c r="Q65" s="25" t="inlineStr">
        <is>
          <t>www.typeform.com</t>
        </is>
      </c>
      <c r="R65" s="26" t="n">
        <v>170.0</v>
      </c>
      <c r="S65" s="27" t="inlineStr">
        <is>
          <t/>
        </is>
      </c>
      <c r="T65" s="28" t="inlineStr">
        <is>
          <t/>
        </is>
      </c>
      <c r="U65" s="29" t="n">
        <v>2012.0</v>
      </c>
      <c r="V65" s="30" t="inlineStr">
        <is>
          <t/>
        </is>
      </c>
      <c r="W65" s="31" t="inlineStr">
        <is>
          <t/>
        </is>
      </c>
      <c r="X65" s="32" t="inlineStr">
        <is>
          <t/>
        </is>
      </c>
      <c r="Y65" s="33" t="inlineStr">
        <is>
          <t/>
        </is>
      </c>
      <c r="Z65" s="34" t="inlineStr">
        <is>
          <t/>
        </is>
      </c>
      <c r="AA65" s="35" t="inlineStr">
        <is>
          <t/>
        </is>
      </c>
      <c r="AB65" s="36" t="inlineStr">
        <is>
          <t/>
        </is>
      </c>
      <c r="AC65" s="37" t="inlineStr">
        <is>
          <t/>
        </is>
      </c>
      <c r="AD65" s="38" t="inlineStr">
        <is>
          <t/>
        </is>
      </c>
      <c r="AE65" s="39" t="inlineStr">
        <is>
          <t>53417-44P</t>
        </is>
      </c>
      <c r="AF65" s="40" t="inlineStr">
        <is>
          <t>Robert Munoz</t>
        </is>
      </c>
      <c r="AG65" s="41" t="inlineStr">
        <is>
          <t>Co-Founder &amp; Joint Chief Executive Officer</t>
        </is>
      </c>
      <c r="AH65" s="42" t="inlineStr">
        <is>
          <t>robert@typeform.com</t>
        </is>
      </c>
      <c r="AI65" s="43" t="inlineStr">
        <is>
          <t/>
        </is>
      </c>
      <c r="AJ65" s="44" t="inlineStr">
        <is>
          <t>Barcelona, Spain</t>
        </is>
      </c>
      <c r="AK65" s="45" t="inlineStr">
        <is>
          <t>Carrer Bac de Roda</t>
        </is>
      </c>
      <c r="AL65" s="46" t="inlineStr">
        <is>
          <t>163</t>
        </is>
      </c>
      <c r="AM65" s="47" t="inlineStr">
        <is>
          <t>Barcelona</t>
        </is>
      </c>
      <c r="AN65" s="48" t="inlineStr">
        <is>
          <t/>
        </is>
      </c>
      <c r="AO65" s="49" t="inlineStr">
        <is>
          <t>08018</t>
        </is>
      </c>
      <c r="AP65" s="50" t="inlineStr">
        <is>
          <t>Spain</t>
        </is>
      </c>
      <c r="AQ65" s="51" t="inlineStr">
        <is>
          <t/>
        </is>
      </c>
      <c r="AR65" s="52" t="inlineStr">
        <is>
          <t/>
        </is>
      </c>
      <c r="AS65" s="53" t="inlineStr">
        <is>
          <t>info@typeform.com</t>
        </is>
      </c>
      <c r="AT65" s="54" t="inlineStr">
        <is>
          <t>Europe</t>
        </is>
      </c>
      <c r="AU65" s="55" t="inlineStr">
        <is>
          <t>Southern Europe</t>
        </is>
      </c>
      <c r="AV65" s="56" t="inlineStr">
        <is>
          <t>The company raised $35 million of series B venture funding in a deal led by General Atlantic on September 11, 2017. Index Ventures (UK), Point Nine Capital and Connect Ventures also participated in this round. The funds will be used to accelerate the expansion of its platform, expand its current offering, product development, international growth and build the world's first conversational data collection platform to help people solve real problems.</t>
        </is>
      </c>
      <c r="AW65" s="57" t="inlineStr">
        <is>
          <t>Christoph Janz, Connect Ventures, General Atlantic, Index Ventures (UK), Jay Parikh, Mariusz Gralewski, Point Nine Capital, RTAventures</t>
        </is>
      </c>
      <c r="AX65" s="58" t="n">
        <v>8.0</v>
      </c>
      <c r="AY65" s="59" t="inlineStr">
        <is>
          <t/>
        </is>
      </c>
      <c r="AZ65" s="60" t="inlineStr">
        <is>
          <t/>
        </is>
      </c>
      <c r="BA65" s="61" t="inlineStr">
        <is>
          <t/>
        </is>
      </c>
      <c r="BB65" s="62" t="inlineStr">
        <is>
          <t>Connect Ventures (www.connectventures.co), General Atlantic (www.generalatlantic.com), Index Ventures (UK) (www.indexventures.com), Point Nine Capital (www.pointninecap.com), RTAventures (www.rtaventures.com)</t>
        </is>
      </c>
      <c r="BC65" s="63" t="inlineStr">
        <is>
          <t/>
        </is>
      </c>
      <c r="BD65" s="64" t="inlineStr">
        <is>
          <t/>
        </is>
      </c>
      <c r="BE65" s="65" t="inlineStr">
        <is>
          <t/>
        </is>
      </c>
      <c r="BF65" s="66" t="inlineStr">
        <is>
          <t/>
        </is>
      </c>
      <c r="BG65" s="67" t="n">
        <v>41522.0</v>
      </c>
      <c r="BH65" s="68" t="n">
        <v>0.55</v>
      </c>
      <c r="BI65" s="69" t="inlineStr">
        <is>
          <t>Actual</t>
        </is>
      </c>
      <c r="BJ65" s="70" t="inlineStr">
        <is>
          <t/>
        </is>
      </c>
      <c r="BK65" s="71" t="inlineStr">
        <is>
          <t/>
        </is>
      </c>
      <c r="BL65" s="72" t="inlineStr">
        <is>
          <t>Seed Round</t>
        </is>
      </c>
      <c r="BM65" s="73" t="inlineStr">
        <is>
          <t>Seed</t>
        </is>
      </c>
      <c r="BN65" s="74" t="inlineStr">
        <is>
          <t/>
        </is>
      </c>
      <c r="BO65" s="75" t="inlineStr">
        <is>
          <t>Venture Capital</t>
        </is>
      </c>
      <c r="BP65" s="76" t="inlineStr">
        <is>
          <t/>
        </is>
      </c>
      <c r="BQ65" s="77" t="inlineStr">
        <is>
          <t/>
        </is>
      </c>
      <c r="BR65" s="78" t="inlineStr">
        <is>
          <t/>
        </is>
      </c>
      <c r="BS65" s="79" t="inlineStr">
        <is>
          <t>Completed</t>
        </is>
      </c>
      <c r="BT65" s="80" t="n">
        <v>42989.0</v>
      </c>
      <c r="BU65" s="81" t="n">
        <v>29.36</v>
      </c>
      <c r="BV65" s="82" t="inlineStr">
        <is>
          <t>Actual</t>
        </is>
      </c>
      <c r="BW65" s="83" t="inlineStr">
        <is>
          <t/>
        </is>
      </c>
      <c r="BX65" s="84" t="inlineStr">
        <is>
          <t/>
        </is>
      </c>
      <c r="BY65" s="85" t="inlineStr">
        <is>
          <t>Later Stage VC</t>
        </is>
      </c>
      <c r="BZ65" s="86" t="inlineStr">
        <is>
          <t>Series B</t>
        </is>
      </c>
      <c r="CA65" s="87" t="inlineStr">
        <is>
          <t/>
        </is>
      </c>
      <c r="CB65" s="88" t="inlineStr">
        <is>
          <t>Venture Capital</t>
        </is>
      </c>
      <c r="CC65" s="89" t="inlineStr">
        <is>
          <t/>
        </is>
      </c>
      <c r="CD65" s="90" t="inlineStr">
        <is>
          <t/>
        </is>
      </c>
      <c r="CE65" s="91" t="inlineStr">
        <is>
          <t/>
        </is>
      </c>
      <c r="CF65" s="92" t="inlineStr">
        <is>
          <t>Completed</t>
        </is>
      </c>
      <c r="CG65" s="93" t="inlineStr">
        <is>
          <t>-0,63%</t>
        </is>
      </c>
      <c r="CH65" s="94" t="inlineStr">
        <is>
          <t>17</t>
        </is>
      </c>
      <c r="CI65" s="95" t="inlineStr">
        <is>
          <t>0,10%</t>
        </is>
      </c>
      <c r="CJ65" s="96" t="inlineStr">
        <is>
          <t>13,35%</t>
        </is>
      </c>
      <c r="CK65" s="97" t="inlineStr">
        <is>
          <t>-5,57%</t>
        </is>
      </c>
      <c r="CL65" s="98" t="inlineStr">
        <is>
          <t>7</t>
        </is>
      </c>
      <c r="CM65" s="99" t="inlineStr">
        <is>
          <t>0,89%</t>
        </is>
      </c>
      <c r="CN65" s="100" t="inlineStr">
        <is>
          <t>95</t>
        </is>
      </c>
      <c r="CO65" s="101" t="inlineStr">
        <is>
          <t>-11,80%</t>
        </is>
      </c>
      <c r="CP65" s="102" t="inlineStr">
        <is>
          <t>11</t>
        </is>
      </c>
      <c r="CQ65" s="103" t="inlineStr">
        <is>
          <t>0,66%</t>
        </is>
      </c>
      <c r="CR65" s="104" t="inlineStr">
        <is>
          <t>92</t>
        </is>
      </c>
      <c r="CS65" s="105" t="inlineStr">
        <is>
          <t>1,58%</t>
        </is>
      </c>
      <c r="CT65" s="106" t="inlineStr">
        <is>
          <t>97</t>
        </is>
      </c>
      <c r="CU65" s="107" t="inlineStr">
        <is>
          <t>0,21%</t>
        </is>
      </c>
      <c r="CV65" s="108" t="inlineStr">
        <is>
          <t>77</t>
        </is>
      </c>
      <c r="CW65" s="109" t="inlineStr">
        <is>
          <t>105,49x</t>
        </is>
      </c>
      <c r="CX65" s="110" t="inlineStr">
        <is>
          <t>98</t>
        </is>
      </c>
      <c r="CY65" s="111" t="inlineStr">
        <is>
          <t>0,19x</t>
        </is>
      </c>
      <c r="CZ65" s="112" t="inlineStr">
        <is>
          <t>0,18%</t>
        </is>
      </c>
      <c r="DA65" s="113" t="inlineStr">
        <is>
          <t>375,94x</t>
        </is>
      </c>
      <c r="DB65" s="114" t="inlineStr">
        <is>
          <t>100</t>
        </is>
      </c>
      <c r="DC65" s="115" t="inlineStr">
        <is>
          <t>44,20x</t>
        </is>
      </c>
      <c r="DD65" s="116" t="inlineStr">
        <is>
          <t>94</t>
        </is>
      </c>
      <c r="DE65" s="117" t="inlineStr">
        <is>
          <t>421,35x</t>
        </is>
      </c>
      <c r="DF65" s="118" t="inlineStr">
        <is>
          <t>100</t>
        </is>
      </c>
      <c r="DG65" s="119" t="inlineStr">
        <is>
          <t>330,53x</t>
        </is>
      </c>
      <c r="DH65" s="120" t="inlineStr">
        <is>
          <t>100</t>
        </is>
      </c>
      <c r="DI65" s="121" t="inlineStr">
        <is>
          <t>20,84x</t>
        </is>
      </c>
      <c r="DJ65" s="122" t="inlineStr">
        <is>
          <t>87</t>
        </is>
      </c>
      <c r="DK65" s="123" t="inlineStr">
        <is>
          <t>67,56x</t>
        </is>
      </c>
      <c r="DL65" s="124" t="inlineStr">
        <is>
          <t>97</t>
        </is>
      </c>
      <c r="DM65" s="125" t="inlineStr">
        <is>
          <t>156.236</t>
        </is>
      </c>
      <c r="DN65" s="126" t="inlineStr">
        <is>
          <t>425</t>
        </is>
      </c>
      <c r="DO65" s="127" t="inlineStr">
        <is>
          <t>0,27%</t>
        </is>
      </c>
      <c r="DP65" s="128" t="inlineStr">
        <is>
          <t>16.406</t>
        </is>
      </c>
      <c r="DQ65" s="129" t="inlineStr">
        <is>
          <t>265</t>
        </is>
      </c>
      <c r="DR65" s="130" t="inlineStr">
        <is>
          <t>1,64%</t>
        </is>
      </c>
      <c r="DS65" s="131" t="inlineStr">
        <is>
          <t>11.870</t>
        </is>
      </c>
      <c r="DT65" s="132" t="inlineStr">
        <is>
          <t>67</t>
        </is>
      </c>
      <c r="DU65" s="133" t="inlineStr">
        <is>
          <t>0,57%</t>
        </is>
      </c>
      <c r="DV65" s="134" t="inlineStr">
        <is>
          <t>25.252</t>
        </is>
      </c>
      <c r="DW65" s="135" t="inlineStr">
        <is>
          <t>75</t>
        </is>
      </c>
      <c r="DX65" s="136" t="inlineStr">
        <is>
          <t>0,30%</t>
        </is>
      </c>
      <c r="DY65" s="137" t="inlineStr">
        <is>
          <t>PitchBook Research</t>
        </is>
      </c>
      <c r="DZ65" s="785">
        <f>HYPERLINK("https://my.pitchbook.com?c=58818-79", "View company online")</f>
      </c>
    </row>
    <row r="66">
      <c r="A66" s="139" t="inlineStr">
        <is>
          <t>53800-03</t>
        </is>
      </c>
      <c r="B66" s="140" t="inlineStr">
        <is>
          <t>GoCardless</t>
        </is>
      </c>
      <c r="C66" s="141" t="inlineStr">
        <is>
          <t/>
        </is>
      </c>
      <c r="D66" s="142" t="inlineStr">
        <is>
          <t/>
        </is>
      </c>
      <c r="E66" s="143" t="inlineStr">
        <is>
          <t>53800-03</t>
        </is>
      </c>
      <c r="F66" s="144" t="inlineStr">
        <is>
          <t>Provider of an online-payment platform intended to turn payments into a competitive advantage. The company's online-payment platform offers direct debit services, enabling organizations to offer recurring-payment services to their customers.</t>
        </is>
      </c>
      <c r="G66" s="145" t="inlineStr">
        <is>
          <t>Information Technology</t>
        </is>
      </c>
      <c r="H66" s="146" t="inlineStr">
        <is>
          <t>IT Services</t>
        </is>
      </c>
      <c r="I66" s="147" t="inlineStr">
        <is>
          <t>Other IT Services</t>
        </is>
      </c>
      <c r="J66" s="148" t="inlineStr">
        <is>
          <t>Other IT Services*; Vertical Market Software; Financial Software</t>
        </is>
      </c>
      <c r="K66" s="149" t="inlineStr">
        <is>
          <t>FinTech, SaaS</t>
        </is>
      </c>
      <c r="L66" s="150" t="inlineStr">
        <is>
          <t>Venture Capital-Backed</t>
        </is>
      </c>
      <c r="M66" s="151" t="n">
        <v>43.24</v>
      </c>
      <c r="N66" s="152" t="inlineStr">
        <is>
          <t>Generating Revenue</t>
        </is>
      </c>
      <c r="O66" s="153" t="inlineStr">
        <is>
          <t>Privately Held (backing)</t>
        </is>
      </c>
      <c r="P66" s="154" t="inlineStr">
        <is>
          <t>Venture Capital</t>
        </is>
      </c>
      <c r="Q66" s="155" t="inlineStr">
        <is>
          <t>www.gocardless.com</t>
        </is>
      </c>
      <c r="R66" s="156" t="n">
        <v>69.0</v>
      </c>
      <c r="S66" s="157" t="inlineStr">
        <is>
          <t/>
        </is>
      </c>
      <c r="T66" s="158" t="inlineStr">
        <is>
          <t/>
        </is>
      </c>
      <c r="U66" s="159" t="n">
        <v>2011.0</v>
      </c>
      <c r="V66" s="160" t="inlineStr">
        <is>
          <t/>
        </is>
      </c>
      <c r="W66" s="161" t="inlineStr">
        <is>
          <t/>
        </is>
      </c>
      <c r="X66" s="162" t="inlineStr">
        <is>
          <t/>
        </is>
      </c>
      <c r="Y66" s="163" t="n">
        <v>4.11316</v>
      </c>
      <c r="Z66" s="164" t="n">
        <v>3.2206</v>
      </c>
      <c r="AA66" s="165" t="inlineStr">
        <is>
          <t/>
        </is>
      </c>
      <c r="AB66" s="166" t="inlineStr">
        <is>
          <t/>
        </is>
      </c>
      <c r="AC66" s="167" t="n">
        <v>-5.27257</v>
      </c>
      <c r="AD66" s="168" t="inlineStr">
        <is>
          <t>FY 2016</t>
        </is>
      </c>
      <c r="AE66" s="169" t="inlineStr">
        <is>
          <t>40107-07P</t>
        </is>
      </c>
      <c r="AF66" s="170" t="inlineStr">
        <is>
          <t>Hiroki Takeuchi</t>
        </is>
      </c>
      <c r="AG66" s="171" t="inlineStr">
        <is>
          <t>Co-Founder, Chief Executive Officer &amp; Board Member</t>
        </is>
      </c>
      <c r="AH66" s="172" t="inlineStr">
        <is>
          <t>hiroki@gocardless.com</t>
        </is>
      </c>
      <c r="AI66" s="173" t="inlineStr">
        <is>
          <t>+44 (0)20 7183 8674</t>
        </is>
      </c>
      <c r="AJ66" s="174" t="inlineStr">
        <is>
          <t>London, United Kingdom</t>
        </is>
      </c>
      <c r="AK66" s="175" t="inlineStr">
        <is>
          <t>338-346 Goswell Road</t>
        </is>
      </c>
      <c r="AL66" s="176" t="inlineStr">
        <is>
          <t/>
        </is>
      </c>
      <c r="AM66" s="177" t="inlineStr">
        <is>
          <t>London</t>
        </is>
      </c>
      <c r="AN66" s="178" t="inlineStr">
        <is>
          <t>England</t>
        </is>
      </c>
      <c r="AO66" s="179" t="inlineStr">
        <is>
          <t>EC1V 7LQ</t>
        </is>
      </c>
      <c r="AP66" s="180" t="inlineStr">
        <is>
          <t>United Kingdom</t>
        </is>
      </c>
      <c r="AQ66" s="181" t="inlineStr">
        <is>
          <t>+44 (0)20 7183 8674</t>
        </is>
      </c>
      <c r="AR66" s="182" t="inlineStr">
        <is>
          <t/>
        </is>
      </c>
      <c r="AS66" s="183" t="inlineStr">
        <is>
          <t>help@gocardless.com</t>
        </is>
      </c>
      <c r="AT66" s="184" t="inlineStr">
        <is>
          <t>Europe</t>
        </is>
      </c>
      <c r="AU66" s="185" t="inlineStr">
        <is>
          <t>Western Europe</t>
        </is>
      </c>
      <c r="AV66" s="186" t="inlineStr">
        <is>
          <t>The company raised $22.5 million of Series D venture funding in a deal led by Accel on September 19, 2017. Balderton Capital, Notion Capital, Passion Capital and other undisclosed investors also participated. The funds will be used to accelerate the creation of the company's global bank-to-bank payments network.</t>
        </is>
      </c>
      <c r="AW66" s="187" t="inlineStr">
        <is>
          <t>Accel, ACE &amp; Company, Balderton Capital, Eileen Burbidge, Hoxton Ventures, Kreos Capital, Mark Zaleski, Notion Capital, Passion Capital, Start Fund, SV Angel, Tom Hulme, Y Combinator</t>
        </is>
      </c>
      <c r="AX66" s="188" t="n">
        <v>13.0</v>
      </c>
      <c r="AY66" s="189" t="inlineStr">
        <is>
          <t/>
        </is>
      </c>
      <c r="AZ66" s="190" t="inlineStr">
        <is>
          <t/>
        </is>
      </c>
      <c r="BA66" s="191" t="inlineStr">
        <is>
          <t/>
        </is>
      </c>
      <c r="BB66" s="192" t="inlineStr">
        <is>
          <t>Accel (www.accel.com), ACE &amp; Company (www.aceandcompany.com), Balderton Capital (www.balderton.com), Hoxton Ventures (www.hoxtonventures.com), Kreos Capital (www.kreoscapital.com), Notion Capital (www.notioncapital.com), Passion Capital (www.passioncapital.com), SV Angel (www.svangel.com), Tom Hulme (www.thulme.com), Y Combinator (www.ycombinator.com)</t>
        </is>
      </c>
      <c r="BC66" s="193" t="inlineStr">
        <is>
          <t/>
        </is>
      </c>
      <c r="BD66" s="194" t="inlineStr">
        <is>
          <t/>
        </is>
      </c>
      <c r="BE66" s="195" t="inlineStr">
        <is>
          <t>Gunderson Dettmer (Legal Advisor), Future Fifty (Consulting), Maclay Murray &amp; Spens (Legal Advisor)</t>
        </is>
      </c>
      <c r="BF66" s="196" t="inlineStr">
        <is>
          <t>Kreos Capital (Debt Financing), Franklin &amp; Hachigian (Legal Advisor), Gunderson Dettmer (Legal Advisor)</t>
        </is>
      </c>
      <c r="BG66" s="197" t="n">
        <v>40544.0</v>
      </c>
      <c r="BH66" s="198" t="n">
        <v>0.09</v>
      </c>
      <c r="BI66" s="199" t="inlineStr">
        <is>
          <t>Actual</t>
        </is>
      </c>
      <c r="BJ66" s="200" t="inlineStr">
        <is>
          <t/>
        </is>
      </c>
      <c r="BK66" s="201" t="inlineStr">
        <is>
          <t/>
        </is>
      </c>
      <c r="BL66" s="202" t="inlineStr">
        <is>
          <t>Accelerator/Incubator</t>
        </is>
      </c>
      <c r="BM66" s="203" t="inlineStr">
        <is>
          <t/>
        </is>
      </c>
      <c r="BN66" s="204" t="inlineStr">
        <is>
          <t/>
        </is>
      </c>
      <c r="BO66" s="205" t="inlineStr">
        <is>
          <t>Other</t>
        </is>
      </c>
      <c r="BP66" s="206" t="inlineStr">
        <is>
          <t/>
        </is>
      </c>
      <c r="BQ66" s="207" t="inlineStr">
        <is>
          <t/>
        </is>
      </c>
      <c r="BR66" s="208" t="inlineStr">
        <is>
          <t/>
        </is>
      </c>
      <c r="BS66" s="209" t="inlineStr">
        <is>
          <t>Completed</t>
        </is>
      </c>
      <c r="BT66" s="210" t="n">
        <v>42997.0</v>
      </c>
      <c r="BU66" s="211" t="n">
        <v>18.88</v>
      </c>
      <c r="BV66" s="212" t="inlineStr">
        <is>
          <t>Actual</t>
        </is>
      </c>
      <c r="BW66" s="213" t="inlineStr">
        <is>
          <t/>
        </is>
      </c>
      <c r="BX66" s="214" t="inlineStr">
        <is>
          <t/>
        </is>
      </c>
      <c r="BY66" s="215" t="inlineStr">
        <is>
          <t>Later Stage VC</t>
        </is>
      </c>
      <c r="BZ66" s="216" t="inlineStr">
        <is>
          <t>Series D</t>
        </is>
      </c>
      <c r="CA66" s="217" t="inlineStr">
        <is>
          <t/>
        </is>
      </c>
      <c r="CB66" s="218" t="inlineStr">
        <is>
          <t>Venture Capital</t>
        </is>
      </c>
      <c r="CC66" s="219" t="inlineStr">
        <is>
          <t/>
        </is>
      </c>
      <c r="CD66" s="220" t="inlineStr">
        <is>
          <t/>
        </is>
      </c>
      <c r="CE66" s="221" t="inlineStr">
        <is>
          <t/>
        </is>
      </c>
      <c r="CF66" s="222" t="inlineStr">
        <is>
          <t>Completed</t>
        </is>
      </c>
      <c r="CG66" s="223" t="inlineStr">
        <is>
          <t>-6,13%</t>
        </is>
      </c>
      <c r="CH66" s="224" t="inlineStr">
        <is>
          <t>3</t>
        </is>
      </c>
      <c r="CI66" s="225" t="inlineStr">
        <is>
          <t>-0,03%</t>
        </is>
      </c>
      <c r="CJ66" s="226" t="inlineStr">
        <is>
          <t>-0,44%</t>
        </is>
      </c>
      <c r="CK66" s="227" t="inlineStr">
        <is>
          <t>-12,88%</t>
        </is>
      </c>
      <c r="CL66" s="228" t="inlineStr">
        <is>
          <t>2</t>
        </is>
      </c>
      <c r="CM66" s="229" t="inlineStr">
        <is>
          <t>0,62%</t>
        </is>
      </c>
      <c r="CN66" s="230" t="inlineStr">
        <is>
          <t>92</t>
        </is>
      </c>
      <c r="CO66" s="231" t="inlineStr">
        <is>
          <t>-26,05%</t>
        </is>
      </c>
      <c r="CP66" s="232" t="inlineStr">
        <is>
          <t>3</t>
        </is>
      </c>
      <c r="CQ66" s="233" t="inlineStr">
        <is>
          <t>0,30%</t>
        </is>
      </c>
      <c r="CR66" s="234" t="inlineStr">
        <is>
          <t>91</t>
        </is>
      </c>
      <c r="CS66" s="235" t="inlineStr">
        <is>
          <t>0,88%</t>
        </is>
      </c>
      <c r="CT66" s="236" t="inlineStr">
        <is>
          <t>93</t>
        </is>
      </c>
      <c r="CU66" s="237" t="inlineStr">
        <is>
          <t>0,36%</t>
        </is>
      </c>
      <c r="CV66" s="238" t="inlineStr">
        <is>
          <t>86</t>
        </is>
      </c>
      <c r="CW66" s="239" t="inlineStr">
        <is>
          <t>15,07x</t>
        </is>
      </c>
      <c r="CX66" s="240" t="inlineStr">
        <is>
          <t>91</t>
        </is>
      </c>
      <c r="CY66" s="241" t="inlineStr">
        <is>
          <t>-0,03x</t>
        </is>
      </c>
      <c r="CZ66" s="242" t="inlineStr">
        <is>
          <t>-0,21%</t>
        </is>
      </c>
      <c r="DA66" s="243" t="inlineStr">
        <is>
          <t>15,98x</t>
        </is>
      </c>
      <c r="DB66" s="244" t="inlineStr">
        <is>
          <t>93</t>
        </is>
      </c>
      <c r="DC66" s="245" t="inlineStr">
        <is>
          <t>14,16x</t>
        </is>
      </c>
      <c r="DD66" s="246" t="inlineStr">
        <is>
          <t>87</t>
        </is>
      </c>
      <c r="DE66" s="247" t="inlineStr">
        <is>
          <t>11,90x</t>
        </is>
      </c>
      <c r="DF66" s="248" t="inlineStr">
        <is>
          <t>89</t>
        </is>
      </c>
      <c r="DG66" s="249" t="inlineStr">
        <is>
          <t>20,06x</t>
        </is>
      </c>
      <c r="DH66" s="250" t="inlineStr">
        <is>
          <t>93</t>
        </is>
      </c>
      <c r="DI66" s="251" t="inlineStr">
        <is>
          <t>6,94x</t>
        </is>
      </c>
      <c r="DJ66" s="252" t="inlineStr">
        <is>
          <t>78</t>
        </is>
      </c>
      <c r="DK66" s="253" t="inlineStr">
        <is>
          <t>21,38x</t>
        </is>
      </c>
      <c r="DL66" s="254" t="inlineStr">
        <is>
          <t>93</t>
        </is>
      </c>
      <c r="DM66" s="255" t="inlineStr">
        <is>
          <t>4.447</t>
        </is>
      </c>
      <c r="DN66" s="256" t="inlineStr">
        <is>
          <t>-159</t>
        </is>
      </c>
      <c r="DO66" s="257" t="inlineStr">
        <is>
          <t>-3,45%</t>
        </is>
      </c>
      <c r="DP66" s="258" t="inlineStr">
        <is>
          <t>5.485</t>
        </is>
      </c>
      <c r="DQ66" s="259" t="inlineStr">
        <is>
          <t>50</t>
        </is>
      </c>
      <c r="DR66" s="260" t="inlineStr">
        <is>
          <t>0,92%</t>
        </is>
      </c>
      <c r="DS66" s="261" t="inlineStr">
        <is>
          <t>721</t>
        </is>
      </c>
      <c r="DT66" s="262" t="inlineStr">
        <is>
          <t>2</t>
        </is>
      </c>
      <c r="DU66" s="263" t="inlineStr">
        <is>
          <t>0,28%</t>
        </is>
      </c>
      <c r="DV66" s="264" t="inlineStr">
        <is>
          <t>7.990</t>
        </is>
      </c>
      <c r="DW66" s="265" t="inlineStr">
        <is>
          <t>22</t>
        </is>
      </c>
      <c r="DX66" s="266" t="inlineStr">
        <is>
          <t>0,28%</t>
        </is>
      </c>
      <c r="DY66" s="267" t="inlineStr">
        <is>
          <t>PitchBook Research</t>
        </is>
      </c>
      <c r="DZ66" s="786">
        <f>HYPERLINK("https://my.pitchbook.com?c=53800-03", "View company online")</f>
      </c>
    </row>
    <row r="67">
      <c r="A67" s="9" t="inlineStr">
        <is>
          <t>83787-49</t>
        </is>
      </c>
      <c r="B67" s="10" t="inlineStr">
        <is>
          <t>Digital Shadows</t>
        </is>
      </c>
      <c r="C67" s="11" t="inlineStr">
        <is>
          <t/>
        </is>
      </c>
      <c r="D67" s="12" t="inlineStr">
        <is>
          <t/>
        </is>
      </c>
      <c r="E67" s="13" t="inlineStr">
        <is>
          <t>83787-49</t>
        </is>
      </c>
      <c r="F67" s="14" t="inlineStr">
        <is>
          <t>Provider of cyber monitoring services designed to improve cyber situational awareness. The company's cyber-monitoring services combine scalable data analytics with human data analysts to manage and mitigate digital risks, enabling organizations to get insight of external digital risks and offer protection against cyber-attacks, loss of intellectual property, loss of brand and reputational integrity.</t>
        </is>
      </c>
      <c r="G67" s="15" t="inlineStr">
        <is>
          <t>Information Technology</t>
        </is>
      </c>
      <c r="H67" s="16" t="inlineStr">
        <is>
          <t>Software</t>
        </is>
      </c>
      <c r="I67" s="17" t="inlineStr">
        <is>
          <t>Network Management Software</t>
        </is>
      </c>
      <c r="J67" s="18" t="inlineStr">
        <is>
          <t>Network Management Software*</t>
        </is>
      </c>
      <c r="K67" s="19" t="inlineStr">
        <is>
          <t>Cybersecurity, FinTech, SaaS</t>
        </is>
      </c>
      <c r="L67" s="20" t="inlineStr">
        <is>
          <t>Venture Capital-Backed</t>
        </is>
      </c>
      <c r="M67" s="21" t="n">
        <v>41.83</v>
      </c>
      <c r="N67" s="22" t="inlineStr">
        <is>
          <t>Generating Revenue</t>
        </is>
      </c>
      <c r="O67" s="23" t="inlineStr">
        <is>
          <t>Privately Held (backing)</t>
        </is>
      </c>
      <c r="P67" s="24" t="inlineStr">
        <is>
          <t>Venture Capital</t>
        </is>
      </c>
      <c r="Q67" s="25" t="inlineStr">
        <is>
          <t>www.digitalshadows.com</t>
        </is>
      </c>
      <c r="R67" s="26" t="n">
        <v>82.0</v>
      </c>
      <c r="S67" s="27" t="inlineStr">
        <is>
          <t/>
        </is>
      </c>
      <c r="T67" s="28" t="inlineStr">
        <is>
          <t/>
        </is>
      </c>
      <c r="U67" s="29" t="n">
        <v>2011.0</v>
      </c>
      <c r="V67" s="30" t="inlineStr">
        <is>
          <t/>
        </is>
      </c>
      <c r="W67" s="31" t="inlineStr">
        <is>
          <t/>
        </is>
      </c>
      <c r="X67" s="32" t="inlineStr">
        <is>
          <t/>
        </is>
      </c>
      <c r="Y67" s="33" t="inlineStr">
        <is>
          <t/>
        </is>
      </c>
      <c r="Z67" s="34" t="inlineStr">
        <is>
          <t/>
        </is>
      </c>
      <c r="AA67" s="35" t="inlineStr">
        <is>
          <t/>
        </is>
      </c>
      <c r="AB67" s="36" t="inlineStr">
        <is>
          <t/>
        </is>
      </c>
      <c r="AC67" s="37" t="inlineStr">
        <is>
          <t/>
        </is>
      </c>
      <c r="AD67" s="38" t="inlineStr">
        <is>
          <t/>
        </is>
      </c>
      <c r="AE67" s="39" t="inlineStr">
        <is>
          <t>81807-22P</t>
        </is>
      </c>
      <c r="AF67" s="40" t="inlineStr">
        <is>
          <t>Alastair Paterson</t>
        </is>
      </c>
      <c r="AG67" s="41" t="inlineStr">
        <is>
          <t>Co-Founder, Chief Executive Officer &amp; Board Member</t>
        </is>
      </c>
      <c r="AH67" s="42" t="inlineStr">
        <is>
          <t>alastair.paterson@digitalshadows.com</t>
        </is>
      </c>
      <c r="AI67" s="43" t="inlineStr">
        <is>
          <t>+44 (0)20 3393 7001</t>
        </is>
      </c>
      <c r="AJ67" s="44" t="inlineStr">
        <is>
          <t>London, United Kingdom</t>
        </is>
      </c>
      <c r="AK67" s="45" t="inlineStr">
        <is>
          <t>Level 39</t>
        </is>
      </c>
      <c r="AL67" s="46" t="inlineStr">
        <is>
          <t>One Canada Square</t>
        </is>
      </c>
      <c r="AM67" s="47" t="inlineStr">
        <is>
          <t>London</t>
        </is>
      </c>
      <c r="AN67" s="48" t="inlineStr">
        <is>
          <t>England</t>
        </is>
      </c>
      <c r="AO67" s="49" t="inlineStr">
        <is>
          <t>E14 5AB</t>
        </is>
      </c>
      <c r="AP67" s="50" t="inlineStr">
        <is>
          <t>United Kingdom</t>
        </is>
      </c>
      <c r="AQ67" s="51" t="inlineStr">
        <is>
          <t>+44 (0)20 3393 7001</t>
        </is>
      </c>
      <c r="AR67" s="52" t="inlineStr">
        <is>
          <t/>
        </is>
      </c>
      <c r="AS67" s="53" t="inlineStr">
        <is>
          <t>info@digitalshadows.com</t>
        </is>
      </c>
      <c r="AT67" s="54" t="inlineStr">
        <is>
          <t>Europe</t>
        </is>
      </c>
      <c r="AU67" s="55" t="inlineStr">
        <is>
          <t>Western Europe</t>
        </is>
      </c>
      <c r="AV67" s="56" t="inlineStr">
        <is>
          <t>The company raised $26 million of Series C venture funding in a deal led by Octopus Ventures on September 20, 2017. Industry Ventures, Passion Capital, WiL (World Innovation Lab). Trinity Ventures, and other undisclosed investors also participated in the round. The funds will be used to grow the capabilities of the company's SearchLightTM digital risk management service and accelerate global expansion.</t>
        </is>
      </c>
      <c r="AW67" s="57" t="inlineStr">
        <is>
          <t>Asadel Venture Partners, Eileen Burbidge, FinTech Innovation Lab, Industry Ventures, Octopus Ventures, Paladin Capital Group, Passion Capital, Robert Dighero, Storm Ventures, Ten Eleven Ventures, Tim Belcher, Trinity Ventures, WiL (World Innovation Lab)</t>
        </is>
      </c>
      <c r="AX67" s="58" t="n">
        <v>13.0</v>
      </c>
      <c r="AY67" s="59" t="inlineStr">
        <is>
          <t/>
        </is>
      </c>
      <c r="AZ67" s="60" t="inlineStr">
        <is>
          <t/>
        </is>
      </c>
      <c r="BA67" s="61" t="inlineStr">
        <is>
          <t/>
        </is>
      </c>
      <c r="BB67" s="62" t="inlineStr">
        <is>
          <t>Asadel Venture Partners (www.asadelgroup.com), FinTech Innovation Lab (www.fintechinnovationlab.com), Industry Ventures (www.industryventures.com), Octopus Ventures (www.octopusventures.com), Paladin Capital Group (www.paladincapgroup.com), Passion Capital (www.passioncapital.com), Storm Ventures (www.stormventures.com), Ten Eleven Ventures (www.1011vc.com), Trinity Ventures (www.trinityventures.com), WiL (World Innovation Lab) (www.wilab.com)</t>
        </is>
      </c>
      <c r="BC67" s="63" t="inlineStr">
        <is>
          <t/>
        </is>
      </c>
      <c r="BD67" s="64" t="inlineStr">
        <is>
          <t/>
        </is>
      </c>
      <c r="BE67" s="65" t="inlineStr">
        <is>
          <t>Fried Frank Harris Shriver &amp; Jacobson (Legal Advisor)</t>
        </is>
      </c>
      <c r="BF67" s="66" t="inlineStr">
        <is>
          <t>Fried Frank Harris Shriver &amp; Jacobson (Legal Advisor)</t>
        </is>
      </c>
      <c r="BG67" s="67" t="n">
        <v>41255.0</v>
      </c>
      <c r="BH67" s="68" t="n">
        <v>0.06</v>
      </c>
      <c r="BI67" s="69" t="inlineStr">
        <is>
          <t>Actual</t>
        </is>
      </c>
      <c r="BJ67" s="70" t="n">
        <v>0.75</v>
      </c>
      <c r="BK67" s="71" t="inlineStr">
        <is>
          <t>Actual</t>
        </is>
      </c>
      <c r="BL67" s="72" t="inlineStr">
        <is>
          <t>Seed Round</t>
        </is>
      </c>
      <c r="BM67" s="73" t="inlineStr">
        <is>
          <t>Seed</t>
        </is>
      </c>
      <c r="BN67" s="74" t="inlineStr">
        <is>
          <t/>
        </is>
      </c>
      <c r="BO67" s="75" t="inlineStr">
        <is>
          <t>Venture Capital</t>
        </is>
      </c>
      <c r="BP67" s="76" t="inlineStr">
        <is>
          <t/>
        </is>
      </c>
      <c r="BQ67" s="77" t="inlineStr">
        <is>
          <t/>
        </is>
      </c>
      <c r="BR67" s="78" t="inlineStr">
        <is>
          <t/>
        </is>
      </c>
      <c r="BS67" s="79" t="inlineStr">
        <is>
          <t>Completed</t>
        </is>
      </c>
      <c r="BT67" s="80" t="n">
        <v>42998.0</v>
      </c>
      <c r="BU67" s="81" t="n">
        <v>21.81</v>
      </c>
      <c r="BV67" s="82" t="inlineStr">
        <is>
          <t>Actual</t>
        </is>
      </c>
      <c r="BW67" s="83" t="inlineStr">
        <is>
          <t/>
        </is>
      </c>
      <c r="BX67" s="84" t="inlineStr">
        <is>
          <t/>
        </is>
      </c>
      <c r="BY67" s="85" t="inlineStr">
        <is>
          <t>Later Stage VC</t>
        </is>
      </c>
      <c r="BZ67" s="86" t="inlineStr">
        <is>
          <t>Series C</t>
        </is>
      </c>
      <c r="CA67" s="87" t="inlineStr">
        <is>
          <t/>
        </is>
      </c>
      <c r="CB67" s="88" t="inlineStr">
        <is>
          <t>Venture Capital</t>
        </is>
      </c>
      <c r="CC67" s="89" t="inlineStr">
        <is>
          <t/>
        </is>
      </c>
      <c r="CD67" s="90" t="inlineStr">
        <is>
          <t/>
        </is>
      </c>
      <c r="CE67" s="91" t="inlineStr">
        <is>
          <t/>
        </is>
      </c>
      <c r="CF67" s="92" t="inlineStr">
        <is>
          <t>Completed</t>
        </is>
      </c>
      <c r="CG67" s="93" t="inlineStr">
        <is>
          <t>-0,58%</t>
        </is>
      </c>
      <c r="CH67" s="94" t="inlineStr">
        <is>
          <t>18</t>
        </is>
      </c>
      <c r="CI67" s="95" t="inlineStr">
        <is>
          <t>0,12%</t>
        </is>
      </c>
      <c r="CJ67" s="96" t="inlineStr">
        <is>
          <t>16,52%</t>
        </is>
      </c>
      <c r="CK67" s="97" t="inlineStr">
        <is>
          <t>-1,67%</t>
        </is>
      </c>
      <c r="CL67" s="98" t="inlineStr">
        <is>
          <t>16</t>
        </is>
      </c>
      <c r="CM67" s="99" t="inlineStr">
        <is>
          <t>0,50%</t>
        </is>
      </c>
      <c r="CN67" s="100" t="inlineStr">
        <is>
          <t>89</t>
        </is>
      </c>
      <c r="CO67" s="101" t="inlineStr">
        <is>
          <t>-6,88%</t>
        </is>
      </c>
      <c r="CP67" s="102" t="inlineStr">
        <is>
          <t>17</t>
        </is>
      </c>
      <c r="CQ67" s="103" t="inlineStr">
        <is>
          <t>3,54%</t>
        </is>
      </c>
      <c r="CR67" s="104" t="inlineStr">
        <is>
          <t>97</t>
        </is>
      </c>
      <c r="CS67" s="105" t="inlineStr">
        <is>
          <t>0,47%</t>
        </is>
      </c>
      <c r="CT67" s="106" t="inlineStr">
        <is>
          <t>86</t>
        </is>
      </c>
      <c r="CU67" s="107" t="inlineStr">
        <is>
          <t>0,53%</t>
        </is>
      </c>
      <c r="CV67" s="108" t="inlineStr">
        <is>
          <t>92</t>
        </is>
      </c>
      <c r="CW67" s="109" t="inlineStr">
        <is>
          <t>12,79x</t>
        </is>
      </c>
      <c r="CX67" s="110" t="inlineStr">
        <is>
          <t>90</t>
        </is>
      </c>
      <c r="CY67" s="111" t="inlineStr">
        <is>
          <t>0,25x</t>
        </is>
      </c>
      <c r="CZ67" s="112" t="inlineStr">
        <is>
          <t>1,99%</t>
        </is>
      </c>
      <c r="DA67" s="113" t="inlineStr">
        <is>
          <t>20,17x</t>
        </is>
      </c>
      <c r="DB67" s="114" t="inlineStr">
        <is>
          <t>94</t>
        </is>
      </c>
      <c r="DC67" s="115" t="inlineStr">
        <is>
          <t>5,42x</t>
        </is>
      </c>
      <c r="DD67" s="116" t="inlineStr">
        <is>
          <t>77</t>
        </is>
      </c>
      <c r="DE67" s="117" t="inlineStr">
        <is>
          <t>6,15x</t>
        </is>
      </c>
      <c r="DF67" s="118" t="inlineStr">
        <is>
          <t>83</t>
        </is>
      </c>
      <c r="DG67" s="119" t="inlineStr">
        <is>
          <t>34,19x</t>
        </is>
      </c>
      <c r="DH67" s="120" t="inlineStr">
        <is>
          <t>96</t>
        </is>
      </c>
      <c r="DI67" s="121" t="inlineStr">
        <is>
          <t>0,76x</t>
        </is>
      </c>
      <c r="DJ67" s="122" t="inlineStr">
        <is>
          <t>46</t>
        </is>
      </c>
      <c r="DK67" s="123" t="inlineStr">
        <is>
          <t>10,07x</t>
        </is>
      </c>
      <c r="DL67" s="124" t="inlineStr">
        <is>
          <t>87</t>
        </is>
      </c>
      <c r="DM67" s="125" t="inlineStr">
        <is>
          <t>2.283</t>
        </is>
      </c>
      <c r="DN67" s="126" t="inlineStr">
        <is>
          <t>-14</t>
        </is>
      </c>
      <c r="DO67" s="127" t="inlineStr">
        <is>
          <t>-0,61%</t>
        </is>
      </c>
      <c r="DP67" s="128" t="inlineStr">
        <is>
          <t>598</t>
        </is>
      </c>
      <c r="DQ67" s="129" t="inlineStr">
        <is>
          <t>7</t>
        </is>
      </c>
      <c r="DR67" s="130" t="inlineStr">
        <is>
          <t>1,18%</t>
        </is>
      </c>
      <c r="DS67" s="131" t="inlineStr">
        <is>
          <t>1.214</t>
        </is>
      </c>
      <c r="DT67" s="132" t="inlineStr">
        <is>
          <t>38</t>
        </is>
      </c>
      <c r="DU67" s="133" t="inlineStr">
        <is>
          <t>3,23%</t>
        </is>
      </c>
      <c r="DV67" s="134" t="inlineStr">
        <is>
          <t>3.762</t>
        </is>
      </c>
      <c r="DW67" s="135" t="inlineStr">
        <is>
          <t>35</t>
        </is>
      </c>
      <c r="DX67" s="136" t="inlineStr">
        <is>
          <t>0,94%</t>
        </is>
      </c>
      <c r="DY67" s="137" t="inlineStr">
        <is>
          <t>PitchBook Research</t>
        </is>
      </c>
      <c r="DZ67" s="785">
        <f>HYPERLINK("https://my.pitchbook.com?c=83787-49", "View company online")</f>
      </c>
    </row>
    <row r="68">
      <c r="A68" s="139" t="inlineStr">
        <is>
          <t>59974-66</t>
        </is>
      </c>
      <c r="B68" s="140" t="inlineStr">
        <is>
          <t>Global Savings Group</t>
        </is>
      </c>
      <c r="C68" s="141" t="inlineStr">
        <is>
          <t>CupoNation Group</t>
        </is>
      </c>
      <c r="D68" s="142" t="inlineStr">
        <is>
          <t>GSG</t>
        </is>
      </c>
      <c r="E68" s="143" t="inlineStr">
        <is>
          <t>59974-66</t>
        </is>
      </c>
      <c r="F68" s="144" t="inlineStr">
        <is>
          <t>Provider of a global digital commerce platform designed to connect brands and retailers with shoppers around the globe. The company's global digital commerce platform aggregates deals from various brands and retailers, enabling customers to save their money to meet their personal needs.</t>
        </is>
      </c>
      <c r="G68" s="145" t="inlineStr">
        <is>
          <t>Business Products and Services (B2B)</t>
        </is>
      </c>
      <c r="H68" s="146" t="inlineStr">
        <is>
          <t>Commercial Services</t>
        </is>
      </c>
      <c r="I68" s="147" t="inlineStr">
        <is>
          <t>Media and Information Services (B2B)</t>
        </is>
      </c>
      <c r="J68" s="148" t="inlineStr">
        <is>
          <t>Media and Information Services (B2B)*; Application Software; Social/Platform Software</t>
        </is>
      </c>
      <c r="K68" s="149" t="inlineStr">
        <is>
          <t>E-Commerce, Mobile</t>
        </is>
      </c>
      <c r="L68" s="150" t="inlineStr">
        <is>
          <t>Venture Capital-Backed</t>
        </is>
      </c>
      <c r="M68" s="151" t="n">
        <v>39.59</v>
      </c>
      <c r="N68" s="152" t="inlineStr">
        <is>
          <t>Profitable</t>
        </is>
      </c>
      <c r="O68" s="153" t="inlineStr">
        <is>
          <t>Privately Held (backing)</t>
        </is>
      </c>
      <c r="P68" s="154" t="inlineStr">
        <is>
          <t>Venture Capital</t>
        </is>
      </c>
      <c r="Q68" s="155" t="inlineStr">
        <is>
          <t>www.global-savings-group.com</t>
        </is>
      </c>
      <c r="R68" s="156" t="n">
        <v>25.0</v>
      </c>
      <c r="S68" s="157" t="inlineStr">
        <is>
          <t/>
        </is>
      </c>
      <c r="T68" s="158" t="inlineStr">
        <is>
          <t/>
        </is>
      </c>
      <c r="U68" s="159" t="n">
        <v>2012.0</v>
      </c>
      <c r="V68" s="160" t="inlineStr">
        <is>
          <t/>
        </is>
      </c>
      <c r="W68" s="161" t="inlineStr">
        <is>
          <t/>
        </is>
      </c>
      <c r="X68" s="162" t="inlineStr">
        <is>
          <t/>
        </is>
      </c>
      <c r="Y68" s="163" t="n">
        <v>639.24074</v>
      </c>
      <c r="Z68" s="164" t="inlineStr">
        <is>
          <t/>
        </is>
      </c>
      <c r="AA68" s="165" t="inlineStr">
        <is>
          <t/>
        </is>
      </c>
      <c r="AB68" s="166" t="inlineStr">
        <is>
          <t/>
        </is>
      </c>
      <c r="AC68" s="167" t="inlineStr">
        <is>
          <t/>
        </is>
      </c>
      <c r="AD68" s="168" t="inlineStr">
        <is>
          <t>FY 2017</t>
        </is>
      </c>
      <c r="AE68" s="169" t="inlineStr">
        <is>
          <t>56197-45P</t>
        </is>
      </c>
      <c r="AF68" s="170" t="inlineStr">
        <is>
          <t>Maria Junqueira</t>
        </is>
      </c>
      <c r="AG68" s="171" t="inlineStr">
        <is>
          <t>Co-Founder &amp; Managing Director CupoNation Brazil</t>
        </is>
      </c>
      <c r="AH68" s="172" t="inlineStr">
        <is>
          <t/>
        </is>
      </c>
      <c r="AI68" s="173" t="inlineStr">
        <is>
          <t>+49 (0)89 9605 8699</t>
        </is>
      </c>
      <c r="AJ68" s="174" t="inlineStr">
        <is>
          <t>Munich, Germany</t>
        </is>
      </c>
      <c r="AK68" s="175" t="inlineStr">
        <is>
          <t>Dingolfingerstr. 15</t>
        </is>
      </c>
      <c r="AL68" s="176" t="inlineStr">
        <is>
          <t/>
        </is>
      </c>
      <c r="AM68" s="177" t="inlineStr">
        <is>
          <t>Munich</t>
        </is>
      </c>
      <c r="AN68" s="178" t="inlineStr">
        <is>
          <t/>
        </is>
      </c>
      <c r="AO68" s="179" t="inlineStr">
        <is>
          <t>81673</t>
        </is>
      </c>
      <c r="AP68" s="180" t="inlineStr">
        <is>
          <t>Germany</t>
        </is>
      </c>
      <c r="AQ68" s="181" t="inlineStr">
        <is>
          <t>+49 (0)89 9605 8699</t>
        </is>
      </c>
      <c r="AR68" s="182" t="inlineStr">
        <is>
          <t/>
        </is>
      </c>
      <c r="AS68" s="183" t="inlineStr">
        <is>
          <t>info@global-savings-group.com</t>
        </is>
      </c>
      <c r="AT68" s="184" t="inlineStr">
        <is>
          <t>Europe</t>
        </is>
      </c>
      <c r="AU68" s="185" t="inlineStr">
        <is>
          <t>Western Europe</t>
        </is>
      </c>
      <c r="AV68" s="186" t="inlineStr">
        <is>
          <t>The company raised EUR 19.2 million of Series C venture funding through a combination of debt and equity from Holtzbrinck Ventures, Rocket Internet and Deutsche Telekom Capital Partners on October 19, 2017. ru-Net and Deutsche Bank also participated in this round. The funding will be used to continue expansion of the company's offerings, to further strengthen its growing travel and lifestyle deal business and enlarge its portfolio of solutions for media companies.</t>
        </is>
      </c>
      <c r="AW68" s="187" t="inlineStr">
        <is>
          <t>Columbia Lake Partners, Deutsche Bank, Deutsche Telekom, Deutsche Telekom Capital Partners, Deutsche Telekom Strategic Investments, e.ventures, Holtzbrinck Ventures, New Enterprise Associates, Rocket Internet, ru-Net, Silicon Valley Bank</t>
        </is>
      </c>
      <c r="AX68" s="188" t="n">
        <v>11.0</v>
      </c>
      <c r="AY68" s="189" t="inlineStr">
        <is>
          <t/>
        </is>
      </c>
      <c r="AZ68" s="190" t="inlineStr">
        <is>
          <t/>
        </is>
      </c>
      <c r="BA68" s="191" t="inlineStr">
        <is>
          <t/>
        </is>
      </c>
      <c r="BB68" s="192" t="inlineStr">
        <is>
          <t>Columbia Lake Partners (www.clpgrowth.com), Deutsche Bank (www.db.com), Deutsche Telekom (www.telekom.com), Deutsche Telekom Capital Partners (www.telekom-capital.com), e.ventures (www.eventures.vc), Holtzbrinck Ventures (www.holtzbrinck-ventures.com), New Enterprise Associates (www.nea.com), Rocket Internet (www.rocket-internet.com), ru-Net (www.ru-net.ru), Silicon Valley Bank (www.svb.com)</t>
        </is>
      </c>
      <c r="BC68" s="193" t="inlineStr">
        <is>
          <t/>
        </is>
      </c>
      <c r="BD68" s="194" t="inlineStr">
        <is>
          <t/>
        </is>
      </c>
      <c r="BE68" s="195" t="inlineStr">
        <is>
          <t/>
        </is>
      </c>
      <c r="BF68" s="196" t="inlineStr">
        <is>
          <t>CoInvest Finanz Consulting (Advisor: General)</t>
        </is>
      </c>
      <c r="BG68" s="197" t="n">
        <v>41257.0</v>
      </c>
      <c r="BH68" s="198" t="n">
        <v>8.39</v>
      </c>
      <c r="BI68" s="199" t="inlineStr">
        <is>
          <t>Actual</t>
        </is>
      </c>
      <c r="BJ68" s="200" t="inlineStr">
        <is>
          <t/>
        </is>
      </c>
      <c r="BK68" s="201" t="inlineStr">
        <is>
          <t/>
        </is>
      </c>
      <c r="BL68" s="202" t="inlineStr">
        <is>
          <t>Early Stage VC</t>
        </is>
      </c>
      <c r="BM68" s="203" t="inlineStr">
        <is>
          <t/>
        </is>
      </c>
      <c r="BN68" s="204" t="inlineStr">
        <is>
          <t/>
        </is>
      </c>
      <c r="BO68" s="205" t="inlineStr">
        <is>
          <t>Venture Capital</t>
        </is>
      </c>
      <c r="BP68" s="206" t="inlineStr">
        <is>
          <t/>
        </is>
      </c>
      <c r="BQ68" s="207" t="inlineStr">
        <is>
          <t/>
        </is>
      </c>
      <c r="BR68" s="208" t="inlineStr">
        <is>
          <t/>
        </is>
      </c>
      <c r="BS68" s="209" t="inlineStr">
        <is>
          <t>Completed</t>
        </is>
      </c>
      <c r="BT68" s="210" t="n">
        <v>43027.0</v>
      </c>
      <c r="BU68" s="211" t="n">
        <v>19.2</v>
      </c>
      <c r="BV68" s="212" t="inlineStr">
        <is>
          <t>Actual</t>
        </is>
      </c>
      <c r="BW68" s="213" t="inlineStr">
        <is>
          <t/>
        </is>
      </c>
      <c r="BX68" s="214" t="inlineStr">
        <is>
          <t/>
        </is>
      </c>
      <c r="BY68" s="215" t="inlineStr">
        <is>
          <t>Later Stage VC</t>
        </is>
      </c>
      <c r="BZ68" s="216" t="inlineStr">
        <is>
          <t>Series C</t>
        </is>
      </c>
      <c r="CA68" s="217" t="inlineStr">
        <is>
          <t/>
        </is>
      </c>
      <c r="CB68" s="218" t="inlineStr">
        <is>
          <t>Venture Capital</t>
        </is>
      </c>
      <c r="CC68" s="219" t="inlineStr">
        <is>
          <t>Other Debt</t>
        </is>
      </c>
      <c r="CD68" s="220" t="inlineStr">
        <is>
          <t/>
        </is>
      </c>
      <c r="CE68" s="221" t="inlineStr">
        <is>
          <t/>
        </is>
      </c>
      <c r="CF68" s="222" t="inlineStr">
        <is>
          <t>Completed</t>
        </is>
      </c>
      <c r="CG68" s="223" t="inlineStr">
        <is>
          <t>-1,55%</t>
        </is>
      </c>
      <c r="CH68" s="224" t="inlineStr">
        <is>
          <t>11</t>
        </is>
      </c>
      <c r="CI68" s="225" t="inlineStr">
        <is>
          <t>-0,01%</t>
        </is>
      </c>
      <c r="CJ68" s="226" t="inlineStr">
        <is>
          <t>-0,46%</t>
        </is>
      </c>
      <c r="CK68" s="227" t="inlineStr">
        <is>
          <t>-3,29%</t>
        </is>
      </c>
      <c r="CL68" s="228" t="inlineStr">
        <is>
          <t>11</t>
        </is>
      </c>
      <c r="CM68" s="229" t="inlineStr">
        <is>
          <t>0,19%</t>
        </is>
      </c>
      <c r="CN68" s="230" t="inlineStr">
        <is>
          <t>70</t>
        </is>
      </c>
      <c r="CO68" s="231" t="inlineStr">
        <is>
          <t>-6,58%</t>
        </is>
      </c>
      <c r="CP68" s="232" t="inlineStr">
        <is>
          <t>18</t>
        </is>
      </c>
      <c r="CQ68" s="233" t="inlineStr">
        <is>
          <t>0,00%</t>
        </is>
      </c>
      <c r="CR68" s="234" t="inlineStr">
        <is>
          <t>20</t>
        </is>
      </c>
      <c r="CS68" s="235" t="inlineStr">
        <is>
          <t>0,02%</t>
        </is>
      </c>
      <c r="CT68" s="236" t="inlineStr">
        <is>
          <t>43</t>
        </is>
      </c>
      <c r="CU68" s="237" t="inlineStr">
        <is>
          <t>0,36%</t>
        </is>
      </c>
      <c r="CV68" s="238" t="inlineStr">
        <is>
          <t>86</t>
        </is>
      </c>
      <c r="CW68" s="239" t="inlineStr">
        <is>
          <t>44,84x</t>
        </is>
      </c>
      <c r="CX68" s="240" t="inlineStr">
        <is>
          <t>96</t>
        </is>
      </c>
      <c r="CY68" s="241" t="inlineStr">
        <is>
          <t>-0,10x</t>
        </is>
      </c>
      <c r="CZ68" s="242" t="inlineStr">
        <is>
          <t>-0,22%</t>
        </is>
      </c>
      <c r="DA68" s="243" t="inlineStr">
        <is>
          <t>1,45x</t>
        </is>
      </c>
      <c r="DB68" s="244" t="inlineStr">
        <is>
          <t>60</t>
        </is>
      </c>
      <c r="DC68" s="245" t="inlineStr">
        <is>
          <t>88,23x</t>
        </is>
      </c>
      <c r="DD68" s="246" t="inlineStr">
        <is>
          <t>96</t>
        </is>
      </c>
      <c r="DE68" s="247" t="inlineStr">
        <is>
          <t>0,71x</t>
        </is>
      </c>
      <c r="DF68" s="248" t="inlineStr">
        <is>
          <t>42</t>
        </is>
      </c>
      <c r="DG68" s="249" t="inlineStr">
        <is>
          <t>2,19x</t>
        </is>
      </c>
      <c r="DH68" s="250" t="inlineStr">
        <is>
          <t>66</t>
        </is>
      </c>
      <c r="DI68" s="251" t="inlineStr">
        <is>
          <t>175,88x</t>
        </is>
      </c>
      <c r="DJ68" s="252" t="inlineStr">
        <is>
          <t>97</t>
        </is>
      </c>
      <c r="DK68" s="253" t="inlineStr">
        <is>
          <t>0,59x</t>
        </is>
      </c>
      <c r="DL68" s="254" t="inlineStr">
        <is>
          <t>41</t>
        </is>
      </c>
      <c r="DM68" s="255" t="inlineStr">
        <is>
          <t>262</t>
        </is>
      </c>
      <c r="DN68" s="256" t="inlineStr">
        <is>
          <t>14</t>
        </is>
      </c>
      <c r="DO68" s="257" t="inlineStr">
        <is>
          <t>5,65%</t>
        </is>
      </c>
      <c r="DP68" s="258" t="inlineStr">
        <is>
          <t>138.955</t>
        </is>
      </c>
      <c r="DQ68" s="259" t="inlineStr">
        <is>
          <t>361</t>
        </is>
      </c>
      <c r="DR68" s="260" t="inlineStr">
        <is>
          <t>0,26%</t>
        </is>
      </c>
      <c r="DS68" s="261" t="inlineStr">
        <is>
          <t>78</t>
        </is>
      </c>
      <c r="DT68" s="262" t="inlineStr">
        <is>
          <t>2</t>
        </is>
      </c>
      <c r="DU68" s="263" t="inlineStr">
        <is>
          <t>2,63%</t>
        </is>
      </c>
      <c r="DV68" s="264" t="inlineStr">
        <is>
          <t>219</t>
        </is>
      </c>
      <c r="DW68" s="265" t="inlineStr">
        <is>
          <t>2</t>
        </is>
      </c>
      <c r="DX68" s="266" t="inlineStr">
        <is>
          <t>0,92%</t>
        </is>
      </c>
      <c r="DY68" s="267" t="inlineStr">
        <is>
          <t>PitchBook Research</t>
        </is>
      </c>
      <c r="DZ68" s="786">
        <f>HYPERLINK("https://my.pitchbook.com?c=59974-66", "View company online")</f>
      </c>
    </row>
    <row r="69">
      <c r="A69" s="9" t="inlineStr">
        <is>
          <t>55477-54</t>
        </is>
      </c>
      <c r="B69" s="10" t="inlineStr">
        <is>
          <t>Evrythng</t>
        </is>
      </c>
      <c r="C69" s="11" t="inlineStr">
        <is>
          <t/>
        </is>
      </c>
      <c r="D69" s="12" t="inlineStr">
        <is>
          <t/>
        </is>
      </c>
      <c r="E69" s="13" t="inlineStr">
        <is>
          <t>55477-54</t>
        </is>
      </c>
      <c r="F69" s="14" t="inlineStr">
        <is>
          <t>Provider of a software platfrom for creating profiles of physical objects on Web. The company's platform enables users to create profiles for connected products, channels for personalized digital services and manage real-time data to drive applications.</t>
        </is>
      </c>
      <c r="G69" s="15" t="inlineStr">
        <is>
          <t>Information Technology</t>
        </is>
      </c>
      <c r="H69" s="16" t="inlineStr">
        <is>
          <t>Software</t>
        </is>
      </c>
      <c r="I69" s="17" t="inlineStr">
        <is>
          <t>Social/Platform Software</t>
        </is>
      </c>
      <c r="J69" s="18" t="inlineStr">
        <is>
          <t>Social/Platform Software*; Application Software; Business/Productivity Software</t>
        </is>
      </c>
      <c r="K69" s="19" t="inlineStr">
        <is>
          <t>Internet of Things</t>
        </is>
      </c>
      <c r="L69" s="20" t="inlineStr">
        <is>
          <t>Venture Capital-Backed</t>
        </is>
      </c>
      <c r="M69" s="21" t="n">
        <v>38.48</v>
      </c>
      <c r="N69" s="22" t="inlineStr">
        <is>
          <t>Generating Revenue</t>
        </is>
      </c>
      <c r="O69" s="23" t="inlineStr">
        <is>
          <t>Privately Held (backing)</t>
        </is>
      </c>
      <c r="P69" s="24" t="inlineStr">
        <is>
          <t>Venture Capital</t>
        </is>
      </c>
      <c r="Q69" s="25" t="inlineStr">
        <is>
          <t>www.evrythng.com</t>
        </is>
      </c>
      <c r="R69" s="26" t="n">
        <v>58.0</v>
      </c>
      <c r="S69" s="27" t="inlineStr">
        <is>
          <t/>
        </is>
      </c>
      <c r="T69" s="28" t="inlineStr">
        <is>
          <t/>
        </is>
      </c>
      <c r="U69" s="29" t="n">
        <v>2011.0</v>
      </c>
      <c r="V69" s="30" t="inlineStr">
        <is>
          <t/>
        </is>
      </c>
      <c r="W69" s="31" t="inlineStr">
        <is>
          <t/>
        </is>
      </c>
      <c r="X69" s="32" t="inlineStr">
        <is>
          <t/>
        </is>
      </c>
      <c r="Y69" s="33" t="inlineStr">
        <is>
          <t/>
        </is>
      </c>
      <c r="Z69" s="34" t="inlineStr">
        <is>
          <t/>
        </is>
      </c>
      <c r="AA69" s="35" t="inlineStr">
        <is>
          <t/>
        </is>
      </c>
      <c r="AB69" s="36" t="inlineStr">
        <is>
          <t/>
        </is>
      </c>
      <c r="AC69" s="37" t="inlineStr">
        <is>
          <t/>
        </is>
      </c>
      <c r="AD69" s="38" t="inlineStr">
        <is>
          <t/>
        </is>
      </c>
      <c r="AE69" s="39" t="inlineStr">
        <is>
          <t>50670-19P</t>
        </is>
      </c>
      <c r="AF69" s="40" t="inlineStr">
        <is>
          <t>Niall Murphy</t>
        </is>
      </c>
      <c r="AG69" s="41" t="inlineStr">
        <is>
          <t>Co-Founder, Board Member and Chief Executive Officer</t>
        </is>
      </c>
      <c r="AH69" s="42" t="inlineStr">
        <is>
          <t>niall@evrythng.com</t>
        </is>
      </c>
      <c r="AI69" s="43" t="inlineStr">
        <is>
          <t>+44 (0)78 6636 3873</t>
        </is>
      </c>
      <c r="AJ69" s="44" t="inlineStr">
        <is>
          <t>London, United Kingdom</t>
        </is>
      </c>
      <c r="AK69" s="45" t="inlineStr">
        <is>
          <t>Unit 4</t>
        </is>
      </c>
      <c r="AL69" s="46" t="inlineStr">
        <is>
          <t>122 East Road</t>
        </is>
      </c>
      <c r="AM69" s="47" t="inlineStr">
        <is>
          <t>London</t>
        </is>
      </c>
      <c r="AN69" s="48" t="inlineStr">
        <is>
          <t>England</t>
        </is>
      </c>
      <c r="AO69" s="49" t="inlineStr">
        <is>
          <t>N1 6FB</t>
        </is>
      </c>
      <c r="AP69" s="50" t="inlineStr">
        <is>
          <t>United Kingdom</t>
        </is>
      </c>
      <c r="AQ69" s="51" t="inlineStr">
        <is>
          <t/>
        </is>
      </c>
      <c r="AR69" s="52" t="inlineStr">
        <is>
          <t/>
        </is>
      </c>
      <c r="AS69" s="53" t="inlineStr">
        <is>
          <t>info@evrythng.com</t>
        </is>
      </c>
      <c r="AT69" s="54" t="inlineStr">
        <is>
          <t>Europe</t>
        </is>
      </c>
      <c r="AU69" s="55" t="inlineStr">
        <is>
          <t>Western Europe</t>
        </is>
      </c>
      <c r="AV69" s="56" t="inlineStr">
        <is>
          <t>The company raised $24.8 million of Series B venture funding in a deal led by Sway Ventures (Accelerate-IT Ventures) on March 14, 2017. Generation Ventures, Bloc Ventures, Cisco Investments, Samsung Venture Investment, BHLP, Atomico, Dawn Capital and Advance Vixeid Partners also participated in the round. The company intends to use the funds for expansion of their team and continued development of their enterprise-focused IoT platform.</t>
        </is>
      </c>
      <c r="AW69" s="57" t="inlineStr">
        <is>
          <t>Advance Venture Partners, Atomico, BHLP, Bloc Ventures, Cisco Investments, David Heller, Dawn Capital, Generation Ventures, Jeffrey Burde, Plug and Play Tech Center, SAATCHiNVEST, Samsung Venture Investment, Sway Ventures, Vayner/RSE</t>
        </is>
      </c>
      <c r="AX69" s="58" t="n">
        <v>14.0</v>
      </c>
      <c r="AY69" s="59" t="inlineStr">
        <is>
          <t/>
        </is>
      </c>
      <c r="AZ69" s="60" t="inlineStr">
        <is>
          <t/>
        </is>
      </c>
      <c r="BA69" s="61" t="inlineStr">
        <is>
          <t/>
        </is>
      </c>
      <c r="BB69" s="62" t="inlineStr">
        <is>
          <t>Advance Venture Partners (www.avpgrowth.com), Atomico (www.atomico.com), Bloc Ventures (www.blocventures.com), Cisco Investments (www.ciscoinvestments.com), Dawn Capital (www.dawncapital.com), Generation Ventures (www.generationventures.com), Plug and Play Tech Center (www.plugandplaytechcenter.com), SAATCHiNVEST (www.saatchinvest.com), Samsung Venture Investment (www.samsungventures.com), Sway Ventures (www.swayvc.com), Vayner/RSE (www.vaynerrse.com)</t>
        </is>
      </c>
      <c r="BC69" s="63" t="inlineStr">
        <is>
          <t/>
        </is>
      </c>
      <c r="BD69" s="64" t="inlineStr">
        <is>
          <t/>
        </is>
      </c>
      <c r="BE69" s="65" t="inlineStr">
        <is>
          <t>Orrick, Herrington &amp; Sutcliffe (Legal Advisor)</t>
        </is>
      </c>
      <c r="BF69" s="66" t="inlineStr">
        <is>
          <t>Orrick, Herrington &amp; Sutcliffe (Legal Advisor), Needham &amp; Company (Advisor: General)</t>
        </is>
      </c>
      <c r="BG69" s="67" t="n">
        <v>40817.0</v>
      </c>
      <c r="BH69" s="68" t="n">
        <v>0.73</v>
      </c>
      <c r="BI69" s="69" t="inlineStr">
        <is>
          <t>Actual</t>
        </is>
      </c>
      <c r="BJ69" s="70" t="inlineStr">
        <is>
          <t/>
        </is>
      </c>
      <c r="BK69" s="71" t="inlineStr">
        <is>
          <t/>
        </is>
      </c>
      <c r="BL69" s="72" t="inlineStr">
        <is>
          <t>Seed Round</t>
        </is>
      </c>
      <c r="BM69" s="73" t="inlineStr">
        <is>
          <t>Seed</t>
        </is>
      </c>
      <c r="BN69" s="74" t="inlineStr">
        <is>
          <t/>
        </is>
      </c>
      <c r="BO69" s="75" t="inlineStr">
        <is>
          <t>Venture Capital</t>
        </is>
      </c>
      <c r="BP69" s="76" t="inlineStr">
        <is>
          <t/>
        </is>
      </c>
      <c r="BQ69" s="77" t="inlineStr">
        <is>
          <t/>
        </is>
      </c>
      <c r="BR69" s="78" t="inlineStr">
        <is>
          <t/>
        </is>
      </c>
      <c r="BS69" s="79" t="inlineStr">
        <is>
          <t>Completed</t>
        </is>
      </c>
      <c r="BT69" s="80" t="n">
        <v>42808.0</v>
      </c>
      <c r="BU69" s="81" t="n">
        <v>23.2</v>
      </c>
      <c r="BV69" s="82" t="inlineStr">
        <is>
          <t>Actual</t>
        </is>
      </c>
      <c r="BW69" s="83" t="inlineStr">
        <is>
          <t/>
        </is>
      </c>
      <c r="BX69" s="84" t="inlineStr">
        <is>
          <t/>
        </is>
      </c>
      <c r="BY69" s="85" t="inlineStr">
        <is>
          <t>Later Stage VC</t>
        </is>
      </c>
      <c r="BZ69" s="86" t="inlineStr">
        <is>
          <t>Series B</t>
        </is>
      </c>
      <c r="CA69" s="87" t="inlineStr">
        <is>
          <t/>
        </is>
      </c>
      <c r="CB69" s="88" t="inlineStr">
        <is>
          <t>Venture Capital</t>
        </is>
      </c>
      <c r="CC69" s="89" t="inlineStr">
        <is>
          <t/>
        </is>
      </c>
      <c r="CD69" s="90" t="inlineStr">
        <is>
          <t/>
        </is>
      </c>
      <c r="CE69" s="91" t="inlineStr">
        <is>
          <t/>
        </is>
      </c>
      <c r="CF69" s="92" t="inlineStr">
        <is>
          <t>Completed</t>
        </is>
      </c>
      <c r="CG69" s="93" t="inlineStr">
        <is>
          <t>-3,94%</t>
        </is>
      </c>
      <c r="CH69" s="94" t="inlineStr">
        <is>
          <t>5</t>
        </is>
      </c>
      <c r="CI69" s="95" t="inlineStr">
        <is>
          <t>0,01%</t>
        </is>
      </c>
      <c r="CJ69" s="96" t="inlineStr">
        <is>
          <t>0,33%</t>
        </is>
      </c>
      <c r="CK69" s="97" t="inlineStr">
        <is>
          <t>-7,98%</t>
        </is>
      </c>
      <c r="CL69" s="98" t="inlineStr">
        <is>
          <t>5</t>
        </is>
      </c>
      <c r="CM69" s="99" t="inlineStr">
        <is>
          <t>0,11%</t>
        </is>
      </c>
      <c r="CN69" s="100" t="inlineStr">
        <is>
          <t>60</t>
        </is>
      </c>
      <c r="CO69" s="101" t="inlineStr">
        <is>
          <t>-15,01%</t>
        </is>
      </c>
      <c r="CP69" s="102" t="inlineStr">
        <is>
          <t>8</t>
        </is>
      </c>
      <c r="CQ69" s="103" t="inlineStr">
        <is>
          <t>-0,94%</t>
        </is>
      </c>
      <c r="CR69" s="104" t="inlineStr">
        <is>
          <t>10</t>
        </is>
      </c>
      <c r="CS69" s="105" t="inlineStr">
        <is>
          <t>0,05%</t>
        </is>
      </c>
      <c r="CT69" s="106" t="inlineStr">
        <is>
          <t>48</t>
        </is>
      </c>
      <c r="CU69" s="107" t="inlineStr">
        <is>
          <t>0,17%</t>
        </is>
      </c>
      <c r="CV69" s="108" t="inlineStr">
        <is>
          <t>74</t>
        </is>
      </c>
      <c r="CW69" s="109" t="inlineStr">
        <is>
          <t>10,27x</t>
        </is>
      </c>
      <c r="CX69" s="110" t="inlineStr">
        <is>
          <t>88</t>
        </is>
      </c>
      <c r="CY69" s="111" t="inlineStr">
        <is>
          <t>-0,08x</t>
        </is>
      </c>
      <c r="CZ69" s="112" t="inlineStr">
        <is>
          <t>-0,78%</t>
        </is>
      </c>
      <c r="DA69" s="113" t="inlineStr">
        <is>
          <t>5,63x</t>
        </is>
      </c>
      <c r="DB69" s="114" t="inlineStr">
        <is>
          <t>83</t>
        </is>
      </c>
      <c r="DC69" s="115" t="inlineStr">
        <is>
          <t>14,91x</t>
        </is>
      </c>
      <c r="DD69" s="116" t="inlineStr">
        <is>
          <t>87</t>
        </is>
      </c>
      <c r="DE69" s="117" t="inlineStr">
        <is>
          <t>3,85x</t>
        </is>
      </c>
      <c r="DF69" s="118" t="inlineStr">
        <is>
          <t>77</t>
        </is>
      </c>
      <c r="DG69" s="119" t="inlineStr">
        <is>
          <t>7,42x</t>
        </is>
      </c>
      <c r="DH69" s="120" t="inlineStr">
        <is>
          <t>84</t>
        </is>
      </c>
      <c r="DI69" s="121" t="inlineStr">
        <is>
          <t>1,05x</t>
        </is>
      </c>
      <c r="DJ69" s="122" t="inlineStr">
        <is>
          <t>51</t>
        </is>
      </c>
      <c r="DK69" s="123" t="inlineStr">
        <is>
          <t>28,76x</t>
        </is>
      </c>
      <c r="DL69" s="124" t="inlineStr">
        <is>
          <t>94</t>
        </is>
      </c>
      <c r="DM69" s="125" t="inlineStr">
        <is>
          <t>1.421</t>
        </is>
      </c>
      <c r="DN69" s="126" t="inlineStr">
        <is>
          <t>30</t>
        </is>
      </c>
      <c r="DO69" s="127" t="inlineStr">
        <is>
          <t>2,16%</t>
        </is>
      </c>
      <c r="DP69" s="128" t="inlineStr">
        <is>
          <t>835</t>
        </is>
      </c>
      <c r="DQ69" s="129" t="inlineStr">
        <is>
          <t>0</t>
        </is>
      </c>
      <c r="DR69" s="130" t="inlineStr">
        <is>
          <t>0,00%</t>
        </is>
      </c>
      <c r="DS69" s="131" t="inlineStr">
        <is>
          <t>268</t>
        </is>
      </c>
      <c r="DT69" s="132" t="inlineStr">
        <is>
          <t>-2</t>
        </is>
      </c>
      <c r="DU69" s="133" t="inlineStr">
        <is>
          <t>-0,74%</t>
        </is>
      </c>
      <c r="DV69" s="134" t="inlineStr">
        <is>
          <t>10.743</t>
        </is>
      </c>
      <c r="DW69" s="135" t="inlineStr">
        <is>
          <t>27</t>
        </is>
      </c>
      <c r="DX69" s="136" t="inlineStr">
        <is>
          <t>0,25%</t>
        </is>
      </c>
      <c r="DY69" s="137" t="inlineStr">
        <is>
          <t>PitchBook Research</t>
        </is>
      </c>
      <c r="DZ69" s="785">
        <f>HYPERLINK("https://my.pitchbook.com?c=55477-54", "View company online")</f>
      </c>
    </row>
    <row r="70">
      <c r="A70" s="139" t="inlineStr">
        <is>
          <t>154688-77</t>
        </is>
      </c>
      <c r="B70" s="140" t="inlineStr">
        <is>
          <t>CornerJob</t>
        </is>
      </c>
      <c r="C70" s="141" t="inlineStr">
        <is>
          <t/>
        </is>
      </c>
      <c r="D70" s="142" t="inlineStr">
        <is>
          <t/>
        </is>
      </c>
      <c r="E70" s="143" t="inlineStr">
        <is>
          <t>154688-77</t>
        </is>
      </c>
      <c r="F70" s="144" t="inlineStr">
        <is>
          <t>Developer of a mobile recruiting platform created to facilitate connection between blue-collar and service jobs. The company's mobile recruiting platform focuses on non-executive positions in the markets by using tools for communication between employers and candidates, job filters and location-based capabilities.</t>
        </is>
      </c>
      <c r="G70" s="145" t="inlineStr">
        <is>
          <t>Information Technology</t>
        </is>
      </c>
      <c r="H70" s="146" t="inlineStr">
        <is>
          <t>Software</t>
        </is>
      </c>
      <c r="I70" s="147" t="inlineStr">
        <is>
          <t>Social/Platform Software</t>
        </is>
      </c>
      <c r="J70" s="148" t="inlineStr">
        <is>
          <t>Social/Platform Software*; Human Capital Services; Application Software</t>
        </is>
      </c>
      <c r="K70" s="149" t="inlineStr">
        <is>
          <t>Mobile, SaaS</t>
        </is>
      </c>
      <c r="L70" s="150" t="inlineStr">
        <is>
          <t>Venture Capital-Backed</t>
        </is>
      </c>
      <c r="M70" s="151" t="n">
        <v>36.24</v>
      </c>
      <c r="N70" s="152" t="inlineStr">
        <is>
          <t>Startup</t>
        </is>
      </c>
      <c r="O70" s="153" t="inlineStr">
        <is>
          <t>Privately Held (backing)</t>
        </is>
      </c>
      <c r="P70" s="154" t="inlineStr">
        <is>
          <t>Venture Capital</t>
        </is>
      </c>
      <c r="Q70" s="155" t="inlineStr">
        <is>
          <t>www.cornerjob.com</t>
        </is>
      </c>
      <c r="R70" s="156" t="n">
        <v>62.0</v>
      </c>
      <c r="S70" s="157" t="inlineStr">
        <is>
          <t/>
        </is>
      </c>
      <c r="T70" s="158" t="inlineStr">
        <is>
          <t/>
        </is>
      </c>
      <c r="U70" s="159" t="n">
        <v>2015.0</v>
      </c>
      <c r="V70" s="160" t="inlineStr">
        <is>
          <t/>
        </is>
      </c>
      <c r="W70" s="161" t="inlineStr">
        <is>
          <t/>
        </is>
      </c>
      <c r="X70" s="162" t="inlineStr">
        <is>
          <t/>
        </is>
      </c>
      <c r="Y70" s="163" t="inlineStr">
        <is>
          <t/>
        </is>
      </c>
      <c r="Z70" s="164" t="inlineStr">
        <is>
          <t/>
        </is>
      </c>
      <c r="AA70" s="165" t="inlineStr">
        <is>
          <t/>
        </is>
      </c>
      <c r="AB70" s="166" t="inlineStr">
        <is>
          <t/>
        </is>
      </c>
      <c r="AC70" s="167" t="inlineStr">
        <is>
          <t/>
        </is>
      </c>
      <c r="AD70" s="168" t="inlineStr">
        <is>
          <t/>
        </is>
      </c>
      <c r="AE70" s="169" t="inlineStr">
        <is>
          <t/>
        </is>
      </c>
      <c r="AF70" s="170" t="inlineStr">
        <is>
          <t/>
        </is>
      </c>
      <c r="AG70" s="171" t="inlineStr">
        <is>
          <t/>
        </is>
      </c>
      <c r="AH70" s="172" t="inlineStr">
        <is>
          <t/>
        </is>
      </c>
      <c r="AI70" s="173" t="inlineStr">
        <is>
          <t/>
        </is>
      </c>
      <c r="AJ70" s="174" t="inlineStr">
        <is>
          <t>Barcelona, Spain</t>
        </is>
      </c>
      <c r="AK70" s="175" t="inlineStr">
        <is>
          <t>Edificio Palau de Mar</t>
        </is>
      </c>
      <c r="AL70" s="176" t="inlineStr">
        <is>
          <t>Plaza Pau Vila nº1, Planta primera Sector AD</t>
        </is>
      </c>
      <c r="AM70" s="177" t="inlineStr">
        <is>
          <t>Barcelona</t>
        </is>
      </c>
      <c r="AN70" s="178" t="inlineStr">
        <is>
          <t/>
        </is>
      </c>
      <c r="AO70" s="179" t="inlineStr">
        <is>
          <t>08039</t>
        </is>
      </c>
      <c r="AP70" s="180" t="inlineStr">
        <is>
          <t>Spain</t>
        </is>
      </c>
      <c r="AQ70" s="181" t="inlineStr">
        <is>
          <t/>
        </is>
      </c>
      <c r="AR70" s="182" t="inlineStr">
        <is>
          <t/>
        </is>
      </c>
      <c r="AS70" s="183" t="inlineStr">
        <is>
          <t>support@cornerjob.com</t>
        </is>
      </c>
      <c r="AT70" s="184" t="inlineStr">
        <is>
          <t>Europe</t>
        </is>
      </c>
      <c r="AU70" s="185" t="inlineStr">
        <is>
          <t>Southern Europe</t>
        </is>
      </c>
      <c r="AV70" s="186" t="inlineStr">
        <is>
          <t>The company raised $22 million of Series C venture funding from Northzone Ventures, Innogest, Randstad Innovation Fund and e.ventures on August 1, 2017. Samaipata Ventures, Caixa Capital Risc, Sabadell Capital, Mediaset, Mediaset España Comunicación, TF1 Group, RTL Group, 5M Ventures, Media Digital Ventures, Augesco Ventures and Tv Azteca also participated in the round. The fund will be used for product development and to expand its leadership position in digital recruitment in all the countries where it operates (Italy, France, Spain and Mexico).</t>
        </is>
      </c>
      <c r="AW70" s="187" t="inlineStr">
        <is>
          <t>5M Ventures, Antai Venture Builder, Augesco Ventures, Bonsai Venture Capital, Caixa Capital Risc, e.ventures, Innogest, Ithaca Investments, Keyword Venture Capital, Media Digital Ventures, Mediaset, Mediaset España Comunicación, Northzone Ventures, Randstad Innovation Fund, RTL Group, Sabadell Capital, Samaipata Ventures, TF1 Group, Tv Azteca, Variv Capital</t>
        </is>
      </c>
      <c r="AX70" s="188" t="n">
        <v>20.0</v>
      </c>
      <c r="AY70" s="189" t="inlineStr">
        <is>
          <t/>
        </is>
      </c>
      <c r="AZ70" s="190" t="inlineStr">
        <is>
          <t/>
        </is>
      </c>
      <c r="BA70" s="191" t="inlineStr">
        <is>
          <t/>
        </is>
      </c>
      <c r="BB70" s="192" t="inlineStr">
        <is>
          <t>5M Ventures (www.5m-ventures.com), Antai Venture Builder (www.antaivb.com), Augesco Ventures (www.augesco-ventures.com), Bonsai Venture Capital (www.bonsaiventurecapital.com), Caixa Capital Risc (www.caixacapitalrisc.es), e.ventures (www.eventures.vc), Innogest (www.innogest.it), Keyword Venture Capital (www.keyword.vc), Media Digital Ventures (www.mediadigitalventures.com), Mediaset (www.mediaset.it), Mediaset España Comunicación (www.mediaset.es), Northzone Ventures (www.northzone.com), RTL Group (www.rtlgroup.com), Sabadell Capital (bstartup.bancsabadell.com), Samaipata Ventures (www.samaipataventures.com), Tv Azteca (www.irtvazteca.com), Variv Capital (www.variv.com)</t>
        </is>
      </c>
      <c r="BC70" s="193" t="inlineStr">
        <is>
          <t/>
        </is>
      </c>
      <c r="BD70" s="194" t="inlineStr">
        <is>
          <t/>
        </is>
      </c>
      <c r="BE70" s="195" t="inlineStr">
        <is>
          <t/>
        </is>
      </c>
      <c r="BF70" s="196" t="inlineStr">
        <is>
          <t>Rousaud Costas Duran (Legal Advisor), Empresa Nacional de Innovación (Debt Financing)</t>
        </is>
      </c>
      <c r="BG70" s="197" t="n">
        <v>42404.0</v>
      </c>
      <c r="BH70" s="198" t="n">
        <v>9.01</v>
      </c>
      <c r="BI70" s="199" t="inlineStr">
        <is>
          <t>Actual</t>
        </is>
      </c>
      <c r="BJ70" s="200" t="inlineStr">
        <is>
          <t/>
        </is>
      </c>
      <c r="BK70" s="201" t="inlineStr">
        <is>
          <t/>
        </is>
      </c>
      <c r="BL70" s="202" t="inlineStr">
        <is>
          <t>Early Stage VC</t>
        </is>
      </c>
      <c r="BM70" s="203" t="inlineStr">
        <is>
          <t>Series A</t>
        </is>
      </c>
      <c r="BN70" s="204" t="inlineStr">
        <is>
          <t/>
        </is>
      </c>
      <c r="BO70" s="205" t="inlineStr">
        <is>
          <t>Venture Capital</t>
        </is>
      </c>
      <c r="BP70" s="206" t="inlineStr">
        <is>
          <t>Loan</t>
        </is>
      </c>
      <c r="BQ70" s="207" t="inlineStr">
        <is>
          <t/>
        </is>
      </c>
      <c r="BR70" s="208" t="inlineStr">
        <is>
          <t/>
        </is>
      </c>
      <c r="BS70" s="209" t="inlineStr">
        <is>
          <t>Completed</t>
        </is>
      </c>
      <c r="BT70" s="210" t="n">
        <v>42948.0</v>
      </c>
      <c r="BU70" s="211" t="n">
        <v>18.62</v>
      </c>
      <c r="BV70" s="212" t="inlineStr">
        <is>
          <t>Actual</t>
        </is>
      </c>
      <c r="BW70" s="213" t="inlineStr">
        <is>
          <t/>
        </is>
      </c>
      <c r="BX70" s="214" t="inlineStr">
        <is>
          <t/>
        </is>
      </c>
      <c r="BY70" s="215" t="inlineStr">
        <is>
          <t>Later Stage VC</t>
        </is>
      </c>
      <c r="BZ70" s="216" t="inlineStr">
        <is>
          <t>Series C</t>
        </is>
      </c>
      <c r="CA70" s="217" t="inlineStr">
        <is>
          <t/>
        </is>
      </c>
      <c r="CB70" s="218" t="inlineStr">
        <is>
          <t>Venture Capital</t>
        </is>
      </c>
      <c r="CC70" s="219" t="inlineStr">
        <is>
          <t/>
        </is>
      </c>
      <c r="CD70" s="220" t="inlineStr">
        <is>
          <t/>
        </is>
      </c>
      <c r="CE70" s="221" t="inlineStr">
        <is>
          <t/>
        </is>
      </c>
      <c r="CF70" s="222" t="inlineStr">
        <is>
          <t>Completed</t>
        </is>
      </c>
      <c r="CG70" s="223" t="inlineStr">
        <is>
          <t>-4,08%</t>
        </is>
      </c>
      <c r="CH70" s="224" t="inlineStr">
        <is>
          <t>5</t>
        </is>
      </c>
      <c r="CI70" s="225" t="inlineStr">
        <is>
          <t>-0,01%</t>
        </is>
      </c>
      <c r="CJ70" s="226" t="inlineStr">
        <is>
          <t>-0,15%</t>
        </is>
      </c>
      <c r="CK70" s="227" t="inlineStr">
        <is>
          <t>-13,84%</t>
        </is>
      </c>
      <c r="CL70" s="228" t="inlineStr">
        <is>
          <t>2</t>
        </is>
      </c>
      <c r="CM70" s="229" t="inlineStr">
        <is>
          <t>0,34%</t>
        </is>
      </c>
      <c r="CN70" s="230" t="inlineStr">
        <is>
          <t>82</t>
        </is>
      </c>
      <c r="CO70" s="231" t="inlineStr">
        <is>
          <t>-27,77%</t>
        </is>
      </c>
      <c r="CP70" s="232" t="inlineStr">
        <is>
          <t>2</t>
        </is>
      </c>
      <c r="CQ70" s="233" t="inlineStr">
        <is>
          <t>0,10%</t>
        </is>
      </c>
      <c r="CR70" s="234" t="inlineStr">
        <is>
          <t>90</t>
        </is>
      </c>
      <c r="CS70" s="235" t="inlineStr">
        <is>
          <t>0,15%</t>
        </is>
      </c>
      <c r="CT70" s="236" t="inlineStr">
        <is>
          <t>64</t>
        </is>
      </c>
      <c r="CU70" s="237" t="inlineStr">
        <is>
          <t>0,53%</t>
        </is>
      </c>
      <c r="CV70" s="238" t="inlineStr">
        <is>
          <t>92</t>
        </is>
      </c>
      <c r="CW70" s="239" t="inlineStr">
        <is>
          <t>65,49x</t>
        </is>
      </c>
      <c r="CX70" s="240" t="inlineStr">
        <is>
          <t>97</t>
        </is>
      </c>
      <c r="CY70" s="241" t="inlineStr">
        <is>
          <t>-0,04x</t>
        </is>
      </c>
      <c r="CZ70" s="242" t="inlineStr">
        <is>
          <t>-0,06%</t>
        </is>
      </c>
      <c r="DA70" s="243" t="inlineStr">
        <is>
          <t>5,48x</t>
        </is>
      </c>
      <c r="DB70" s="244" t="inlineStr">
        <is>
          <t>82</t>
        </is>
      </c>
      <c r="DC70" s="245" t="inlineStr">
        <is>
          <t>190,76x</t>
        </is>
      </c>
      <c r="DD70" s="246" t="inlineStr">
        <is>
          <t>98</t>
        </is>
      </c>
      <c r="DE70" s="247" t="inlineStr">
        <is>
          <t>0,26x</t>
        </is>
      </c>
      <c r="DF70" s="248" t="inlineStr">
        <is>
          <t>19</t>
        </is>
      </c>
      <c r="DG70" s="249" t="inlineStr">
        <is>
          <t>10,69x</t>
        </is>
      </c>
      <c r="DH70" s="250" t="inlineStr">
        <is>
          <t>88</t>
        </is>
      </c>
      <c r="DI70" s="251" t="inlineStr">
        <is>
          <t>378,01x</t>
        </is>
      </c>
      <c r="DJ70" s="252" t="inlineStr">
        <is>
          <t>98</t>
        </is>
      </c>
      <c r="DK70" s="253" t="inlineStr">
        <is>
          <t>3,51x</t>
        </is>
      </c>
      <c r="DL70" s="254" t="inlineStr">
        <is>
          <t>74</t>
        </is>
      </c>
      <c r="DM70" s="255" t="inlineStr">
        <is>
          <t>108</t>
        </is>
      </c>
      <c r="DN70" s="256" t="inlineStr">
        <is>
          <t>-64</t>
        </is>
      </c>
      <c r="DO70" s="257" t="inlineStr">
        <is>
          <t>-37,21%</t>
        </is>
      </c>
      <c r="DP70" s="258" t="inlineStr">
        <is>
          <t>298.689</t>
        </is>
      </c>
      <c r="DQ70" s="259" t="inlineStr">
        <is>
          <t>2.352</t>
        </is>
      </c>
      <c r="DR70" s="260" t="inlineStr">
        <is>
          <t>0,79%</t>
        </is>
      </c>
      <c r="DS70" s="261" t="inlineStr">
        <is>
          <t>383</t>
        </is>
      </c>
      <c r="DT70" s="262" t="inlineStr">
        <is>
          <t>1</t>
        </is>
      </c>
      <c r="DU70" s="263" t="inlineStr">
        <is>
          <t>0,26%</t>
        </is>
      </c>
      <c r="DV70" s="264" t="inlineStr">
        <is>
          <t>1.311</t>
        </is>
      </c>
      <c r="DW70" s="265" t="inlineStr">
        <is>
          <t>10</t>
        </is>
      </c>
      <c r="DX70" s="266" t="inlineStr">
        <is>
          <t>0,77%</t>
        </is>
      </c>
      <c r="DY70" s="267" t="inlineStr">
        <is>
          <t>PitchBook Research</t>
        </is>
      </c>
      <c r="DZ70" s="786">
        <f>HYPERLINK("https://my.pitchbook.com?c=154688-77", "View company online")</f>
      </c>
    </row>
    <row r="71">
      <c r="A71" s="9" t="inlineStr">
        <is>
          <t>63309-43</t>
        </is>
      </c>
      <c r="B71" s="10" t="inlineStr">
        <is>
          <t>Soundtrack Your Brand</t>
        </is>
      </c>
      <c r="C71" s="11" t="inlineStr">
        <is>
          <t/>
        </is>
      </c>
      <c r="D71" s="12" t="inlineStr">
        <is>
          <t>SYB</t>
        </is>
      </c>
      <c r="E71" s="13" t="inlineStr">
        <is>
          <t>63309-43</t>
        </is>
      </c>
      <c r="F71" s="14" t="inlineStr">
        <is>
          <t>Developer of consumer music streaming software designed for music streaming. The company's consumer music streaming software develops and markets Spotify based music tools enabling, businesses to have access to unlimited streaming and customized playlists to use during their hours of operation.</t>
        </is>
      </c>
      <c r="G71" s="15" t="inlineStr">
        <is>
          <t>Information Technology</t>
        </is>
      </c>
      <c r="H71" s="16" t="inlineStr">
        <is>
          <t>Software</t>
        </is>
      </c>
      <c r="I71" s="17" t="inlineStr">
        <is>
          <t>Application Software</t>
        </is>
      </c>
      <c r="J71" s="18" t="inlineStr">
        <is>
          <t>Application Software*; Entertainment Software</t>
        </is>
      </c>
      <c r="K71" s="19" t="inlineStr">
        <is>
          <t>AudioTech</t>
        </is>
      </c>
      <c r="L71" s="20" t="inlineStr">
        <is>
          <t>Venture Capital-Backed</t>
        </is>
      </c>
      <c r="M71" s="21" t="n">
        <v>35.07</v>
      </c>
      <c r="N71" s="22" t="inlineStr">
        <is>
          <t>Profitable</t>
        </is>
      </c>
      <c r="O71" s="23" t="inlineStr">
        <is>
          <t>Privately Held (backing)</t>
        </is>
      </c>
      <c r="P71" s="24" t="inlineStr">
        <is>
          <t>Venture Capital</t>
        </is>
      </c>
      <c r="Q71" s="25" t="inlineStr">
        <is>
          <t>www.soundtrackyourbrand.com</t>
        </is>
      </c>
      <c r="R71" s="26" t="n">
        <v>76.0</v>
      </c>
      <c r="S71" s="27" t="inlineStr">
        <is>
          <t/>
        </is>
      </c>
      <c r="T71" s="28" t="inlineStr">
        <is>
          <t/>
        </is>
      </c>
      <c r="U71" s="29" t="n">
        <v>2013.0</v>
      </c>
      <c r="V71" s="30" t="inlineStr">
        <is>
          <t/>
        </is>
      </c>
      <c r="W71" s="31" t="inlineStr">
        <is>
          <t/>
        </is>
      </c>
      <c r="X71" s="32" t="inlineStr">
        <is>
          <t/>
        </is>
      </c>
      <c r="Y71" s="33" t="n">
        <v>1.05654</v>
      </c>
      <c r="Z71" s="34" t="inlineStr">
        <is>
          <t/>
        </is>
      </c>
      <c r="AA71" s="35" t="n">
        <v>-5.04383</v>
      </c>
      <c r="AB71" s="36" t="inlineStr">
        <is>
          <t/>
        </is>
      </c>
      <c r="AC71" s="37" t="n">
        <v>-5.2092</v>
      </c>
      <c r="AD71" s="38" t="inlineStr">
        <is>
          <t>FY 2015</t>
        </is>
      </c>
      <c r="AE71" s="39" t="inlineStr">
        <is>
          <t>67753-99P</t>
        </is>
      </c>
      <c r="AF71" s="40" t="inlineStr">
        <is>
          <t>Richard Hernemyr</t>
        </is>
      </c>
      <c r="AG71" s="41" t="inlineStr">
        <is>
          <t>Chief Operating Officer</t>
        </is>
      </c>
      <c r="AH71" s="42" t="inlineStr">
        <is>
          <t>richard.hernemyr@soundtrackyourbrand.com</t>
        </is>
      </c>
      <c r="AI71" s="43" t="inlineStr">
        <is>
          <t/>
        </is>
      </c>
      <c r="AJ71" s="44" t="inlineStr">
        <is>
          <t>Stockholm, Sweden</t>
        </is>
      </c>
      <c r="AK71" s="45" t="inlineStr">
        <is>
          <t>Birger Jarlsgatan 43</t>
        </is>
      </c>
      <c r="AL71" s="46" t="inlineStr">
        <is>
          <t/>
        </is>
      </c>
      <c r="AM71" s="47" t="inlineStr">
        <is>
          <t>Stockholm</t>
        </is>
      </c>
      <c r="AN71" s="48" t="inlineStr">
        <is>
          <t/>
        </is>
      </c>
      <c r="AO71" s="49" t="inlineStr">
        <is>
          <t>111 45</t>
        </is>
      </c>
      <c r="AP71" s="50" t="inlineStr">
        <is>
          <t>Sweden</t>
        </is>
      </c>
      <c r="AQ71" s="51" t="inlineStr">
        <is>
          <t/>
        </is>
      </c>
      <c r="AR71" s="52" t="inlineStr">
        <is>
          <t/>
        </is>
      </c>
      <c r="AS71" s="53" t="inlineStr">
        <is>
          <t>info@soundtrackyourbrand.com</t>
        </is>
      </c>
      <c r="AT71" s="54" t="inlineStr">
        <is>
          <t>Europe</t>
        </is>
      </c>
      <c r="AU71" s="55" t="inlineStr">
        <is>
          <t>Northern Europe</t>
        </is>
      </c>
      <c r="AV71" s="56" t="inlineStr">
        <is>
          <t>The company raised $27 million of Series C venture funding through a combination of debt and equity on February 17, 2017. Balderton Capital and Industrifonden led the round with participation from Wellington Partners, HMP Capital, Jorg Mohaupt, NMT Network, PlayNetwork, Northzone Ventures, TeliaSonera (Sweden), Creandum and Spotify also participated. The company will use the funds to to expand its business globally and continue building out its tech to select and play licensed music in stores and other retail locations.</t>
        </is>
      </c>
      <c r="AW71" s="57" t="inlineStr">
        <is>
          <t>Balderton Capital, Creandum, HMP Capital, Industrifonden, Jorg Mohaupt, NJF Capital, NMT Network, Northzone Ventures, PlayNetwork, Spotify, TeliaSonera (Sweden), TheVentureCity, Wellington Partners</t>
        </is>
      </c>
      <c r="AX71" s="58" t="n">
        <v>13.0</v>
      </c>
      <c r="AY71" s="59" t="inlineStr">
        <is>
          <t/>
        </is>
      </c>
      <c r="AZ71" s="60" t="inlineStr">
        <is>
          <t/>
        </is>
      </c>
      <c r="BA71" s="61" t="inlineStr">
        <is>
          <t/>
        </is>
      </c>
      <c r="BB71" s="62" t="inlineStr">
        <is>
          <t>Balderton Capital (www.balderton.com), Creandum (www.creandum.com), Industrifonden (www.industrifonden.com), NJF Capital (www.njfcapital.com), Northzone Ventures (www.northzone.com), PlayNetwork (www.playnetwork.com), Spotify (www.spotify.com), TeliaSonera (Sweden) (www.teliasonera.com), TheVentureCity (www.theventure.city), Wellington Partners (www.wellington-partners.com)</t>
        </is>
      </c>
      <c r="BC71" s="63" t="inlineStr">
        <is>
          <t/>
        </is>
      </c>
      <c r="BD71" s="64" t="inlineStr">
        <is>
          <t/>
        </is>
      </c>
      <c r="BE71" s="65" t="inlineStr">
        <is>
          <t/>
        </is>
      </c>
      <c r="BF71" s="66" t="inlineStr">
        <is>
          <t>Setterwalls Advokatbyrå (Legal Advisor)</t>
        </is>
      </c>
      <c r="BG71" s="67" t="n">
        <v>41779.0</v>
      </c>
      <c r="BH71" s="68" t="inlineStr">
        <is>
          <t/>
        </is>
      </c>
      <c r="BI71" s="69" t="inlineStr">
        <is>
          <t/>
        </is>
      </c>
      <c r="BJ71" s="70" t="inlineStr">
        <is>
          <t/>
        </is>
      </c>
      <c r="BK71" s="71" t="inlineStr">
        <is>
          <t/>
        </is>
      </c>
      <c r="BL71" s="72" t="inlineStr">
        <is>
          <t>Early Stage VC</t>
        </is>
      </c>
      <c r="BM71" s="73" t="inlineStr">
        <is>
          <t/>
        </is>
      </c>
      <c r="BN71" s="74" t="inlineStr">
        <is>
          <t/>
        </is>
      </c>
      <c r="BO71" s="75" t="inlineStr">
        <is>
          <t>Venture Capital</t>
        </is>
      </c>
      <c r="BP71" s="76" t="inlineStr">
        <is>
          <t/>
        </is>
      </c>
      <c r="BQ71" s="77" t="inlineStr">
        <is>
          <t/>
        </is>
      </c>
      <c r="BR71" s="78" t="inlineStr">
        <is>
          <t/>
        </is>
      </c>
      <c r="BS71" s="79" t="inlineStr">
        <is>
          <t>Completed</t>
        </is>
      </c>
      <c r="BT71" s="80" t="n">
        <v>42783.0</v>
      </c>
      <c r="BU71" s="81" t="n">
        <v>25.35</v>
      </c>
      <c r="BV71" s="82" t="inlineStr">
        <is>
          <t>Actual</t>
        </is>
      </c>
      <c r="BW71" s="83" t="inlineStr">
        <is>
          <t/>
        </is>
      </c>
      <c r="BX71" s="84" t="inlineStr">
        <is>
          <t/>
        </is>
      </c>
      <c r="BY71" s="85" t="inlineStr">
        <is>
          <t>Later Stage VC</t>
        </is>
      </c>
      <c r="BZ71" s="86" t="inlineStr">
        <is>
          <t>Series C</t>
        </is>
      </c>
      <c r="CA71" s="87" t="inlineStr">
        <is>
          <t/>
        </is>
      </c>
      <c r="CB71" s="88" t="inlineStr">
        <is>
          <t>Venture Capital</t>
        </is>
      </c>
      <c r="CC71" s="89" t="inlineStr">
        <is>
          <t>Convertible Debt</t>
        </is>
      </c>
      <c r="CD71" s="90" t="inlineStr">
        <is>
          <t/>
        </is>
      </c>
      <c r="CE71" s="91" t="inlineStr">
        <is>
          <t/>
        </is>
      </c>
      <c r="CF71" s="92" t="inlineStr">
        <is>
          <t>Completed</t>
        </is>
      </c>
      <c r="CG71" s="93" t="inlineStr">
        <is>
          <t>-0,57%</t>
        </is>
      </c>
      <c r="CH71" s="94" t="inlineStr">
        <is>
          <t>18</t>
        </is>
      </c>
      <c r="CI71" s="95" t="inlineStr">
        <is>
          <t>-0,11%</t>
        </is>
      </c>
      <c r="CJ71" s="96" t="inlineStr">
        <is>
          <t>-23,14%</t>
        </is>
      </c>
      <c r="CK71" s="97" t="inlineStr">
        <is>
          <t>-3,13%</t>
        </is>
      </c>
      <c r="CL71" s="98" t="inlineStr">
        <is>
          <t>11</t>
        </is>
      </c>
      <c r="CM71" s="99" t="inlineStr">
        <is>
          <t>0,57%</t>
        </is>
      </c>
      <c r="CN71" s="100" t="inlineStr">
        <is>
          <t>91</t>
        </is>
      </c>
      <c r="CO71" s="101" t="inlineStr">
        <is>
          <t>-6,66%</t>
        </is>
      </c>
      <c r="CP71" s="102" t="inlineStr">
        <is>
          <t>18</t>
        </is>
      </c>
      <c r="CQ71" s="103" t="inlineStr">
        <is>
          <t>0,40%</t>
        </is>
      </c>
      <c r="CR71" s="104" t="inlineStr">
        <is>
          <t>91</t>
        </is>
      </c>
      <c r="CS71" s="105" t="inlineStr">
        <is>
          <t/>
        </is>
      </c>
      <c r="CT71" s="106" t="inlineStr">
        <is>
          <t/>
        </is>
      </c>
      <c r="CU71" s="107" t="inlineStr">
        <is>
          <t>0,57%</t>
        </is>
      </c>
      <c r="CV71" s="108" t="inlineStr">
        <is>
          <t>92</t>
        </is>
      </c>
      <c r="CW71" s="109" t="inlineStr">
        <is>
          <t>4,59x</t>
        </is>
      </c>
      <c r="CX71" s="110" t="inlineStr">
        <is>
          <t>79</t>
        </is>
      </c>
      <c r="CY71" s="111" t="inlineStr">
        <is>
          <t>0,00x</t>
        </is>
      </c>
      <c r="CZ71" s="112" t="inlineStr">
        <is>
          <t>0,07%</t>
        </is>
      </c>
      <c r="DA71" s="113" t="inlineStr">
        <is>
          <t>12,05x</t>
        </is>
      </c>
      <c r="DB71" s="114" t="inlineStr">
        <is>
          <t>91</t>
        </is>
      </c>
      <c r="DC71" s="115" t="inlineStr">
        <is>
          <t>1,46x</t>
        </is>
      </c>
      <c r="DD71" s="116" t="inlineStr">
        <is>
          <t>56</t>
        </is>
      </c>
      <c r="DE71" s="117" t="inlineStr">
        <is>
          <t>11,68x</t>
        </is>
      </c>
      <c r="DF71" s="118" t="inlineStr">
        <is>
          <t>89</t>
        </is>
      </c>
      <c r="DG71" s="119" t="inlineStr">
        <is>
          <t>12,42x</t>
        </is>
      </c>
      <c r="DH71" s="120" t="inlineStr">
        <is>
          <t>89</t>
        </is>
      </c>
      <c r="DI71" s="121" t="inlineStr">
        <is>
          <t/>
        </is>
      </c>
      <c r="DJ71" s="122" t="inlineStr">
        <is>
          <t/>
        </is>
      </c>
      <c r="DK71" s="123" t="inlineStr">
        <is>
          <t>1,46x</t>
        </is>
      </c>
      <c r="DL71" s="124" t="inlineStr">
        <is>
          <t>58</t>
        </is>
      </c>
      <c r="DM71" s="125" t="inlineStr">
        <is>
          <t>4.265</t>
        </is>
      </c>
      <c r="DN71" s="126" t="inlineStr">
        <is>
          <t>332</t>
        </is>
      </c>
      <c r="DO71" s="127" t="inlineStr">
        <is>
          <t>8,44%</t>
        </is>
      </c>
      <c r="DP71" s="128" t="inlineStr">
        <is>
          <t/>
        </is>
      </c>
      <c r="DQ71" s="129" t="inlineStr">
        <is>
          <t/>
        </is>
      </c>
      <c r="DR71" s="130" t="inlineStr">
        <is>
          <t/>
        </is>
      </c>
      <c r="DS71" s="131" t="inlineStr">
        <is>
          <t>446</t>
        </is>
      </c>
      <c r="DT71" s="132" t="inlineStr">
        <is>
          <t>1</t>
        </is>
      </c>
      <c r="DU71" s="133" t="inlineStr">
        <is>
          <t>0,22%</t>
        </is>
      </c>
      <c r="DV71" s="134" t="inlineStr">
        <is>
          <t>543</t>
        </is>
      </c>
      <c r="DW71" s="135" t="inlineStr">
        <is>
          <t>4</t>
        </is>
      </c>
      <c r="DX71" s="136" t="inlineStr">
        <is>
          <t>0,74%</t>
        </is>
      </c>
      <c r="DY71" s="137" t="inlineStr">
        <is>
          <t>PitchBook Research</t>
        </is>
      </c>
      <c r="DZ71" s="785">
        <f>HYPERLINK("https://my.pitchbook.com?c=63309-43", "View company online")</f>
      </c>
    </row>
    <row r="72">
      <c r="A72" s="139" t="inlineStr">
        <is>
          <t>54765-91</t>
        </is>
      </c>
      <c r="B72" s="140" t="inlineStr">
        <is>
          <t>Seedrs</t>
        </is>
      </c>
      <c r="C72" s="141" t="inlineStr">
        <is>
          <t/>
        </is>
      </c>
      <c r="D72" s="142" t="inlineStr">
        <is>
          <t/>
        </is>
      </c>
      <c r="E72" s="143" t="inlineStr">
        <is>
          <t>54765-91</t>
        </is>
      </c>
      <c r="F72" s="144" t="inlineStr">
        <is>
          <t>Owner and operator of an online investment platform. The company's equity crowdfunding platform enables investors to invest in any of the startups on the platform and advise the businesses, earn equity returns if the business is sold, floats or pays a dividend.</t>
        </is>
      </c>
      <c r="G72" s="145" t="inlineStr">
        <is>
          <t>Financial Services</t>
        </is>
      </c>
      <c r="H72" s="146" t="inlineStr">
        <is>
          <t>Other Financial Services</t>
        </is>
      </c>
      <c r="I72" s="147" t="inlineStr">
        <is>
          <t>Other Financial Services</t>
        </is>
      </c>
      <c r="J72" s="148" t="inlineStr">
        <is>
          <t>Other Financial Services*; Financial Software; Social/Platform Software</t>
        </is>
      </c>
      <c r="K72" s="149" t="inlineStr">
        <is>
          <t>FinTech</t>
        </is>
      </c>
      <c r="L72" s="150" t="inlineStr">
        <is>
          <t>Venture Capital-Backed</t>
        </is>
      </c>
      <c r="M72" s="151" t="n">
        <v>34.09</v>
      </c>
      <c r="N72" s="152" t="inlineStr">
        <is>
          <t>Product Development</t>
        </is>
      </c>
      <c r="O72" s="153" t="inlineStr">
        <is>
          <t>Privately Held (backing)</t>
        </is>
      </c>
      <c r="P72" s="154" t="inlineStr">
        <is>
          <t>Venture Capital</t>
        </is>
      </c>
      <c r="Q72" s="155" t="inlineStr">
        <is>
          <t>www.seedrs.com</t>
        </is>
      </c>
      <c r="R72" s="156" t="n">
        <v>57.0</v>
      </c>
      <c r="S72" s="157" t="inlineStr">
        <is>
          <t/>
        </is>
      </c>
      <c r="T72" s="158" t="inlineStr">
        <is>
          <t/>
        </is>
      </c>
      <c r="U72" s="159" t="n">
        <v>2009.0</v>
      </c>
      <c r="V72" s="160" t="inlineStr">
        <is>
          <t/>
        </is>
      </c>
      <c r="W72" s="161" t="inlineStr">
        <is>
          <t/>
        </is>
      </c>
      <c r="X72" s="162" t="inlineStr">
        <is>
          <t/>
        </is>
      </c>
      <c r="Y72" s="163" t="n">
        <v>1.39443</v>
      </c>
      <c r="Z72" s="164" t="n">
        <v>1.36597</v>
      </c>
      <c r="AA72" s="165" t="n">
        <v>-5.09393</v>
      </c>
      <c r="AB72" s="166" t="inlineStr">
        <is>
          <t/>
        </is>
      </c>
      <c r="AC72" s="167" t="n">
        <v>-4.78089</v>
      </c>
      <c r="AD72" s="168" t="inlineStr">
        <is>
          <t>FY 2016</t>
        </is>
      </c>
      <c r="AE72" s="169" t="inlineStr">
        <is>
          <t>106770-07P</t>
        </is>
      </c>
      <c r="AF72" s="170" t="inlineStr">
        <is>
          <t>Ben Aronsten</t>
        </is>
      </c>
      <c r="AG72" s="171" t="inlineStr">
        <is>
          <t>Chief Marketing Officer</t>
        </is>
      </c>
      <c r="AH72" s="172" t="inlineStr">
        <is>
          <t>ben.aronsten@seedrs.com</t>
        </is>
      </c>
      <c r="AI72" s="173" t="inlineStr">
        <is>
          <t/>
        </is>
      </c>
      <c r="AJ72" s="174" t="inlineStr">
        <is>
          <t>London, United Kingdom</t>
        </is>
      </c>
      <c r="AK72" s="175" t="inlineStr">
        <is>
          <t>Churchill House</t>
        </is>
      </c>
      <c r="AL72" s="176" t="inlineStr">
        <is>
          <t>142-146 Old Street</t>
        </is>
      </c>
      <c r="AM72" s="177" t="inlineStr">
        <is>
          <t>London</t>
        </is>
      </c>
      <c r="AN72" s="178" t="inlineStr">
        <is>
          <t>England</t>
        </is>
      </c>
      <c r="AO72" s="179" t="inlineStr">
        <is>
          <t>EC1V 9BW</t>
        </is>
      </c>
      <c r="AP72" s="180" t="inlineStr">
        <is>
          <t>United Kingdom</t>
        </is>
      </c>
      <c r="AQ72" s="181" t="inlineStr">
        <is>
          <t/>
        </is>
      </c>
      <c r="AR72" s="182" t="inlineStr">
        <is>
          <t/>
        </is>
      </c>
      <c r="AS72" s="183" t="inlineStr">
        <is>
          <t/>
        </is>
      </c>
      <c r="AT72" s="184" t="inlineStr">
        <is>
          <t>Europe</t>
        </is>
      </c>
      <c r="AU72" s="185" t="inlineStr">
        <is>
          <t>Western Europe</t>
        </is>
      </c>
      <c r="AV72" s="186" t="inlineStr">
        <is>
          <t>The company raised GBP 10 million of venture funding from Woodford Investment Management and other undisclosed investors on October 3, 2017, putting the company's post-money valuation at GBP 50 million. The company raised GBP 6 million of angel funding via a crowdfunding campaign and GBP 4 million was invested by Woodford Investment Management. The company intends to use the funds to continue to expand its operations and business reach.</t>
        </is>
      </c>
      <c r="AW72" s="187" t="inlineStr">
        <is>
          <t>#1seed, Augmentum Capital, Beacon Capital, Ben Tibbits, Bluebird Partners, Draper Esprit, Faber Ventures, Individual Investor, LC Ventures, Palm Ventures, Robin Vaudrey, Trillion Fund, Woodford Investment Management</t>
        </is>
      </c>
      <c r="AX72" s="188" t="n">
        <v>13.0</v>
      </c>
      <c r="AY72" s="189" t="inlineStr">
        <is>
          <t/>
        </is>
      </c>
      <c r="AZ72" s="190" t="inlineStr">
        <is>
          <t/>
        </is>
      </c>
      <c r="BA72" s="191" t="inlineStr">
        <is>
          <t/>
        </is>
      </c>
      <c r="BB72" s="192" t="inlineStr">
        <is>
          <t>#1seed (www.1seed.co.uk), Augmentum Capital (www.augmentumcapital.com), Beacon Capital (www.beaconcapital.co.uk), Bluebird Partners (www.bluebirdpartners.co.uk), Draper Esprit (www.draperesprit.com), Faber Ventures (www.faber-ventures.com), LC Ventures (www.lcventures.pt), Palm Ventures (www.palmventures.com), Trillion Fund (www.trillionfund.com), Woodford Investment Management (woodfordfunds.com)</t>
        </is>
      </c>
      <c r="BC72" s="193" t="inlineStr">
        <is>
          <t/>
        </is>
      </c>
      <c r="BD72" s="194" t="inlineStr">
        <is>
          <t/>
        </is>
      </c>
      <c r="BE72" s="195" t="inlineStr">
        <is>
          <t>KPMG (Auditor), Upscale UK (Consulting)</t>
        </is>
      </c>
      <c r="BF72" s="196" t="inlineStr">
        <is>
          <t>Seedrs (Lead Manager or Arranger)</t>
        </is>
      </c>
      <c r="BG72" s="197" t="n">
        <v>41051.0</v>
      </c>
      <c r="BH72" s="198" t="n">
        <v>5.61</v>
      </c>
      <c r="BI72" s="199" t="inlineStr">
        <is>
          <t>Actual</t>
        </is>
      </c>
      <c r="BJ72" s="200" t="inlineStr">
        <is>
          <t/>
        </is>
      </c>
      <c r="BK72" s="201" t="inlineStr">
        <is>
          <t/>
        </is>
      </c>
      <c r="BL72" s="202" t="inlineStr">
        <is>
          <t>Seed Round</t>
        </is>
      </c>
      <c r="BM72" s="203" t="inlineStr">
        <is>
          <t>Seed</t>
        </is>
      </c>
      <c r="BN72" s="204" t="inlineStr">
        <is>
          <t/>
        </is>
      </c>
      <c r="BO72" s="205" t="inlineStr">
        <is>
          <t>Venture Capital</t>
        </is>
      </c>
      <c r="BP72" s="206" t="inlineStr">
        <is>
          <t/>
        </is>
      </c>
      <c r="BQ72" s="207" t="inlineStr">
        <is>
          <t/>
        </is>
      </c>
      <c r="BR72" s="208" t="inlineStr">
        <is>
          <t/>
        </is>
      </c>
      <c r="BS72" s="209" t="inlineStr">
        <is>
          <t>Completed</t>
        </is>
      </c>
      <c r="BT72" s="210" t="n">
        <v>43011.0</v>
      </c>
      <c r="BU72" s="211" t="n">
        <v>11.23</v>
      </c>
      <c r="BV72" s="212" t="inlineStr">
        <is>
          <t>Actual</t>
        </is>
      </c>
      <c r="BW72" s="213" t="n">
        <v>56.15</v>
      </c>
      <c r="BX72" s="214" t="inlineStr">
        <is>
          <t>Actual</t>
        </is>
      </c>
      <c r="BY72" s="215" t="inlineStr">
        <is>
          <t>Later Stage VC</t>
        </is>
      </c>
      <c r="BZ72" s="216" t="inlineStr">
        <is>
          <t/>
        </is>
      </c>
      <c r="CA72" s="217" t="inlineStr">
        <is>
          <t/>
        </is>
      </c>
      <c r="CB72" s="218" t="inlineStr">
        <is>
          <t>Venture Capital</t>
        </is>
      </c>
      <c r="CC72" s="219" t="inlineStr">
        <is>
          <t/>
        </is>
      </c>
      <c r="CD72" s="220" t="inlineStr">
        <is>
          <t/>
        </is>
      </c>
      <c r="CE72" s="221" t="inlineStr">
        <is>
          <t/>
        </is>
      </c>
      <c r="CF72" s="222" t="inlineStr">
        <is>
          <t>Completed</t>
        </is>
      </c>
      <c r="CG72" s="223" t="inlineStr">
        <is>
          <t>-3,74%</t>
        </is>
      </c>
      <c r="CH72" s="224" t="inlineStr">
        <is>
          <t>5</t>
        </is>
      </c>
      <c r="CI72" s="225" t="inlineStr">
        <is>
          <t>0,01%</t>
        </is>
      </c>
      <c r="CJ72" s="226" t="inlineStr">
        <is>
          <t>0,22%</t>
        </is>
      </c>
      <c r="CK72" s="227" t="inlineStr">
        <is>
          <t>-11,37%</t>
        </is>
      </c>
      <c r="CL72" s="228" t="inlineStr">
        <is>
          <t>3</t>
        </is>
      </c>
      <c r="CM72" s="229" t="inlineStr">
        <is>
          <t>0,16%</t>
        </is>
      </c>
      <c r="CN72" s="230" t="inlineStr">
        <is>
          <t>67</t>
        </is>
      </c>
      <c r="CO72" s="231" t="inlineStr">
        <is>
          <t>-22,31%</t>
        </is>
      </c>
      <c r="CP72" s="232" t="inlineStr">
        <is>
          <t>4</t>
        </is>
      </c>
      <c r="CQ72" s="233" t="inlineStr">
        <is>
          <t>-0,43%</t>
        </is>
      </c>
      <c r="CR72" s="234" t="inlineStr">
        <is>
          <t>16</t>
        </is>
      </c>
      <c r="CS72" s="235" t="inlineStr">
        <is>
          <t>0,14%</t>
        </is>
      </c>
      <c r="CT72" s="236" t="inlineStr">
        <is>
          <t>62</t>
        </is>
      </c>
      <c r="CU72" s="237" t="inlineStr">
        <is>
          <t>0,19%</t>
        </is>
      </c>
      <c r="CV72" s="238" t="inlineStr">
        <is>
          <t>75</t>
        </is>
      </c>
      <c r="CW72" s="239" t="inlineStr">
        <is>
          <t>33,33x</t>
        </is>
      </c>
      <c r="CX72" s="240" t="inlineStr">
        <is>
          <t>95</t>
        </is>
      </c>
      <c r="CY72" s="241" t="inlineStr">
        <is>
          <t>-0,21x</t>
        </is>
      </c>
      <c r="CZ72" s="242" t="inlineStr">
        <is>
          <t>-0,64%</t>
        </is>
      </c>
      <c r="DA72" s="243" t="inlineStr">
        <is>
          <t>49,57x</t>
        </is>
      </c>
      <c r="DB72" s="244" t="inlineStr">
        <is>
          <t>98</t>
        </is>
      </c>
      <c r="DC72" s="245" t="inlineStr">
        <is>
          <t>50,24x</t>
        </is>
      </c>
      <c r="DD72" s="246" t="inlineStr">
        <is>
          <t>94</t>
        </is>
      </c>
      <c r="DE72" s="247" t="inlineStr">
        <is>
          <t>6,94x</t>
        </is>
      </c>
      <c r="DF72" s="248" t="inlineStr">
        <is>
          <t>84</t>
        </is>
      </c>
      <c r="DG72" s="249" t="inlineStr">
        <is>
          <t>92,19x</t>
        </is>
      </c>
      <c r="DH72" s="250" t="inlineStr">
        <is>
          <t>99</t>
        </is>
      </c>
      <c r="DI72" s="251" t="inlineStr">
        <is>
          <t>20,04x</t>
        </is>
      </c>
      <c r="DJ72" s="252" t="inlineStr">
        <is>
          <t>87</t>
        </is>
      </c>
      <c r="DK72" s="253" t="inlineStr">
        <is>
          <t>80,43x</t>
        </is>
      </c>
      <c r="DL72" s="254" t="inlineStr">
        <is>
          <t>98</t>
        </is>
      </c>
      <c r="DM72" s="255" t="inlineStr">
        <is>
          <t>2.544</t>
        </is>
      </c>
      <c r="DN72" s="256" t="inlineStr">
        <is>
          <t>155</t>
        </is>
      </c>
      <c r="DO72" s="257" t="inlineStr">
        <is>
          <t>6,49%</t>
        </is>
      </c>
      <c r="DP72" s="258" t="inlineStr">
        <is>
          <t>15.856</t>
        </is>
      </c>
      <c r="DQ72" s="259" t="inlineStr">
        <is>
          <t>25</t>
        </is>
      </c>
      <c r="DR72" s="260" t="inlineStr">
        <is>
          <t>0,16%</t>
        </is>
      </c>
      <c r="DS72" s="261" t="inlineStr">
        <is>
          <t>3.325</t>
        </is>
      </c>
      <c r="DT72" s="262" t="inlineStr">
        <is>
          <t>-14</t>
        </is>
      </c>
      <c r="DU72" s="263" t="inlineStr">
        <is>
          <t>-0,42%</t>
        </is>
      </c>
      <c r="DV72" s="264" t="inlineStr">
        <is>
          <t>30.073</t>
        </is>
      </c>
      <c r="DW72" s="265" t="inlineStr">
        <is>
          <t>56</t>
        </is>
      </c>
      <c r="DX72" s="266" t="inlineStr">
        <is>
          <t>0,19%</t>
        </is>
      </c>
      <c r="DY72" s="267" t="inlineStr">
        <is>
          <t>PitchBook Research</t>
        </is>
      </c>
      <c r="DZ72" s="786">
        <f>HYPERLINK("https://my.pitchbook.com?c=54765-91", "View company online")</f>
      </c>
    </row>
    <row r="73">
      <c r="A73" s="9" t="inlineStr">
        <is>
          <t>55361-62</t>
        </is>
      </c>
      <c r="B73" s="10" t="inlineStr">
        <is>
          <t>Ngdata</t>
        </is>
      </c>
      <c r="C73" s="11" t="inlineStr">
        <is>
          <t/>
        </is>
      </c>
      <c r="D73" s="12" t="inlineStr">
        <is>
          <t/>
        </is>
      </c>
      <c r="E73" s="13" t="inlineStr">
        <is>
          <t>55361-62</t>
        </is>
      </c>
      <c r="F73" s="14" t="inlineStr">
        <is>
          <t>Provider of a next generation customer data platform designed to improve customer experience management. The company's Lily Enterprise platform captures data across all channels to drive improved customer experiences, enabling enterprises to automate and optimize omni-channel customer interactions.</t>
        </is>
      </c>
      <c r="G73" s="15" t="inlineStr">
        <is>
          <t>Business Products and Services (B2B)</t>
        </is>
      </c>
      <c r="H73" s="16" t="inlineStr">
        <is>
          <t>Commercial Services</t>
        </is>
      </c>
      <c r="I73" s="17" t="inlineStr">
        <is>
          <t>Media and Information Services (B2B)</t>
        </is>
      </c>
      <c r="J73" s="18" t="inlineStr">
        <is>
          <t>Media and Information Services (B2B)*; Business/Productivity Software</t>
        </is>
      </c>
      <c r="K73" s="19" t="inlineStr">
        <is>
          <t>SaaS</t>
        </is>
      </c>
      <c r="L73" s="20" t="inlineStr">
        <is>
          <t>Venture Capital-Backed</t>
        </is>
      </c>
      <c r="M73" s="21" t="n">
        <v>33.91</v>
      </c>
      <c r="N73" s="22" t="inlineStr">
        <is>
          <t>Generating Revenue</t>
        </is>
      </c>
      <c r="O73" s="23" t="inlineStr">
        <is>
          <t>Privately Held (backing)</t>
        </is>
      </c>
      <c r="P73" s="24" t="inlineStr">
        <is>
          <t>Venture Capital</t>
        </is>
      </c>
      <c r="Q73" s="25" t="inlineStr">
        <is>
          <t>www.ngdata.com</t>
        </is>
      </c>
      <c r="R73" s="26" t="n">
        <v>3.0</v>
      </c>
      <c r="S73" s="27" t="inlineStr">
        <is>
          <t/>
        </is>
      </c>
      <c r="T73" s="28" t="inlineStr">
        <is>
          <t/>
        </is>
      </c>
      <c r="U73" s="29" t="n">
        <v>2009.0</v>
      </c>
      <c r="V73" s="30" t="inlineStr">
        <is>
          <t/>
        </is>
      </c>
      <c r="W73" s="31" t="inlineStr">
        <is>
          <t/>
        </is>
      </c>
      <c r="X73" s="32" t="inlineStr">
        <is>
          <r>
            <rPr>
              <b/>
              <color rgb="ff26854d"/>
              <rFont val="Arial"/>
              <sz val="8.0"/>
            </rPr>
            <t>News</t>
          </r>
          <r>
            <rPr>
              <color rgb="ff707070"/>
              <rFont val="Arial"/>
              <sz val="7.0"/>
            </rPr>
            <t xml:space="preserve"> NEW  </t>
          </r>
        </is>
      </c>
      <c r="Y73" s="33" t="n">
        <v>1.64777</v>
      </c>
      <c r="Z73" s="34" t="inlineStr">
        <is>
          <t/>
        </is>
      </c>
      <c r="AA73" s="35" t="inlineStr">
        <is>
          <t/>
        </is>
      </c>
      <c r="AB73" s="36" t="inlineStr">
        <is>
          <t/>
        </is>
      </c>
      <c r="AC73" s="37" t="n">
        <v>-1.87505</v>
      </c>
      <c r="AD73" s="38" t="inlineStr">
        <is>
          <t>FY 2014</t>
        </is>
      </c>
      <c r="AE73" s="39" t="inlineStr">
        <is>
          <t>43507-45P</t>
        </is>
      </c>
      <c r="AF73" s="40" t="inlineStr">
        <is>
          <t>Luc Burgelman</t>
        </is>
      </c>
      <c r="AG73" s="41" t="inlineStr">
        <is>
          <t>Co-Founder, Chief Executive Officer &amp; Board Member</t>
        </is>
      </c>
      <c r="AH73" s="42" t="inlineStr">
        <is>
          <t>lucb@ngdata.com</t>
        </is>
      </c>
      <c r="AI73" s="43" t="inlineStr">
        <is>
          <t>+32 (0)9 338 82 20</t>
        </is>
      </c>
      <c r="AJ73" s="44" t="inlineStr">
        <is>
          <t>Gent, Belgium</t>
        </is>
      </c>
      <c r="AK73" s="45" t="inlineStr">
        <is>
          <t>Sluisweg 2</t>
        </is>
      </c>
      <c r="AL73" s="46" t="inlineStr">
        <is>
          <t>Bus 10</t>
        </is>
      </c>
      <c r="AM73" s="47" t="inlineStr">
        <is>
          <t>Gent</t>
        </is>
      </c>
      <c r="AN73" s="48" t="inlineStr">
        <is>
          <t/>
        </is>
      </c>
      <c r="AO73" s="49" t="inlineStr">
        <is>
          <t>9000</t>
        </is>
      </c>
      <c r="AP73" s="50" t="inlineStr">
        <is>
          <t>Belgium</t>
        </is>
      </c>
      <c r="AQ73" s="51" t="inlineStr">
        <is>
          <t>+32 (0)9 338 82 20</t>
        </is>
      </c>
      <c r="AR73" s="52" t="inlineStr">
        <is>
          <t/>
        </is>
      </c>
      <c r="AS73" s="53" t="inlineStr">
        <is>
          <t/>
        </is>
      </c>
      <c r="AT73" s="54" t="inlineStr">
        <is>
          <t>Europe</t>
        </is>
      </c>
      <c r="AU73" s="55" t="inlineStr">
        <is>
          <t>Western Europe</t>
        </is>
      </c>
      <c r="AV73" s="56" t="inlineStr">
        <is>
          <t>The company raised EUR 19.6 million of Series B venture funding led by Idinvest Partners on January 5, 2017. Pamica, Capricorn Venture Partners, ING Corporate Investments, Nausicaa Ventures, SmartFin Capital and undisclosed angel investors also participated in the round. The funds will be used to accelerate sales and marketing, product innovation and acquisitions.</t>
        </is>
      </c>
      <c r="AW73" s="57" t="inlineStr">
        <is>
          <t>Alireza Masrour, Capricorn Venture Partners, IdInvest Partners, ING Corporate Investments, Keen Venture Partners, Nausicaa Ventures, NN Investment Partners, Pamica, Plug and Play Tech Center, SmartFin Capital, Sniper Investments, US Angel Investors</t>
        </is>
      </c>
      <c r="AX73" s="58" t="n">
        <v>12.0</v>
      </c>
      <c r="AY73" s="59" t="inlineStr">
        <is>
          <t/>
        </is>
      </c>
      <c r="AZ73" s="60" t="inlineStr">
        <is>
          <t/>
        </is>
      </c>
      <c r="BA73" s="61" t="inlineStr">
        <is>
          <t/>
        </is>
      </c>
      <c r="BB73" s="62" t="inlineStr">
        <is>
          <t>Capricorn Venture Partners (www.capricorn.be), IdInvest Partners (www.idinvest.com), ING Corporate Investments (promo.ing.be), Keen Venture Partners (www.keenventurepartners.com), Nausicaa Ventures (www.nausicaa-ventures.be), NN Investment Partners (www.nnip.com), Pamica (www.pamica.be), Plug and Play Tech Center (www.plugandplaytechcenter.com), SmartFin Capital (www.smartfincapital.com), Sniper Investments (www.sniperinvestments.com)</t>
        </is>
      </c>
      <c r="BC73" s="63" t="inlineStr">
        <is>
          <t/>
        </is>
      </c>
      <c r="BD73" s="64" t="inlineStr">
        <is>
          <t/>
        </is>
      </c>
      <c r="BE73" s="65" t="inlineStr">
        <is>
          <t>Bdo Llp (Auditor)</t>
        </is>
      </c>
      <c r="BF73" s="66" t="inlineStr">
        <is>
          <t/>
        </is>
      </c>
      <c r="BG73" s="67" t="n">
        <v>41185.0</v>
      </c>
      <c r="BH73" s="68" t="n">
        <v>1.93</v>
      </c>
      <c r="BI73" s="69" t="inlineStr">
        <is>
          <t>Actual</t>
        </is>
      </c>
      <c r="BJ73" s="70" t="inlineStr">
        <is>
          <t/>
        </is>
      </c>
      <c r="BK73" s="71" t="inlineStr">
        <is>
          <t/>
        </is>
      </c>
      <c r="BL73" s="72" t="inlineStr">
        <is>
          <t>Early Stage VC</t>
        </is>
      </c>
      <c r="BM73" s="73" t="inlineStr">
        <is>
          <t/>
        </is>
      </c>
      <c r="BN73" s="74" t="inlineStr">
        <is>
          <t/>
        </is>
      </c>
      <c r="BO73" s="75" t="inlineStr">
        <is>
          <t>Venture Capital</t>
        </is>
      </c>
      <c r="BP73" s="76" t="inlineStr">
        <is>
          <t/>
        </is>
      </c>
      <c r="BQ73" s="77" t="inlineStr">
        <is>
          <t/>
        </is>
      </c>
      <c r="BR73" s="78" t="inlineStr">
        <is>
          <t/>
        </is>
      </c>
      <c r="BS73" s="79" t="inlineStr">
        <is>
          <t>Completed</t>
        </is>
      </c>
      <c r="BT73" s="80" t="n">
        <v>42740.0</v>
      </c>
      <c r="BU73" s="81" t="n">
        <v>19.6</v>
      </c>
      <c r="BV73" s="82" t="inlineStr">
        <is>
          <t>Actual</t>
        </is>
      </c>
      <c r="BW73" s="83" t="inlineStr">
        <is>
          <t/>
        </is>
      </c>
      <c r="BX73" s="84" t="inlineStr">
        <is>
          <t/>
        </is>
      </c>
      <c r="BY73" s="85" t="inlineStr">
        <is>
          <t>Later Stage VC</t>
        </is>
      </c>
      <c r="BZ73" s="86" t="inlineStr">
        <is>
          <t>Series B</t>
        </is>
      </c>
      <c r="CA73" s="87" t="inlineStr">
        <is>
          <t/>
        </is>
      </c>
      <c r="CB73" s="88" t="inlineStr">
        <is>
          <t>Venture Capital</t>
        </is>
      </c>
      <c r="CC73" s="89" t="inlineStr">
        <is>
          <t/>
        </is>
      </c>
      <c r="CD73" s="90" t="inlineStr">
        <is>
          <t/>
        </is>
      </c>
      <c r="CE73" s="91" t="inlineStr">
        <is>
          <t/>
        </is>
      </c>
      <c r="CF73" s="92" t="inlineStr">
        <is>
          <t>Completed</t>
        </is>
      </c>
      <c r="CG73" s="93" t="inlineStr">
        <is>
          <t>-2,29%</t>
        </is>
      </c>
      <c r="CH73" s="94" t="inlineStr">
        <is>
          <t>8</t>
        </is>
      </c>
      <c r="CI73" s="95" t="inlineStr">
        <is>
          <t>-0,02%</t>
        </is>
      </c>
      <c r="CJ73" s="96" t="inlineStr">
        <is>
          <t>-1,03%</t>
        </is>
      </c>
      <c r="CK73" s="97" t="inlineStr">
        <is>
          <t>-5,15%</t>
        </is>
      </c>
      <c r="CL73" s="98" t="inlineStr">
        <is>
          <t>8</t>
        </is>
      </c>
      <c r="CM73" s="99" t="inlineStr">
        <is>
          <t>0,56%</t>
        </is>
      </c>
      <c r="CN73" s="100" t="inlineStr">
        <is>
          <t>90</t>
        </is>
      </c>
      <c r="CO73" s="101" t="inlineStr">
        <is>
          <t>-11,26%</t>
        </is>
      </c>
      <c r="CP73" s="102" t="inlineStr">
        <is>
          <t>11</t>
        </is>
      </c>
      <c r="CQ73" s="103" t="inlineStr">
        <is>
          <t>0,97%</t>
        </is>
      </c>
      <c r="CR73" s="104" t="inlineStr">
        <is>
          <t>93</t>
        </is>
      </c>
      <c r="CS73" s="105" t="inlineStr">
        <is>
          <t>0,95%</t>
        </is>
      </c>
      <c r="CT73" s="106" t="inlineStr">
        <is>
          <t>94</t>
        </is>
      </c>
      <c r="CU73" s="107" t="inlineStr">
        <is>
          <t>0,17%</t>
        </is>
      </c>
      <c r="CV73" s="108" t="inlineStr">
        <is>
          <t>74</t>
        </is>
      </c>
      <c r="CW73" s="109" t="inlineStr">
        <is>
          <t>20,44x</t>
        </is>
      </c>
      <c r="CX73" s="110" t="inlineStr">
        <is>
          <t>93</t>
        </is>
      </c>
      <c r="CY73" s="111" t="inlineStr">
        <is>
          <t>0,10x</t>
        </is>
      </c>
      <c r="CZ73" s="112" t="inlineStr">
        <is>
          <t>0,50%</t>
        </is>
      </c>
      <c r="DA73" s="113" t="inlineStr">
        <is>
          <t>38,12x</t>
        </is>
      </c>
      <c r="DB73" s="114" t="inlineStr">
        <is>
          <t>97</t>
        </is>
      </c>
      <c r="DC73" s="115" t="inlineStr">
        <is>
          <t>2,76x</t>
        </is>
      </c>
      <c r="DD73" s="116" t="inlineStr">
        <is>
          <t>67</t>
        </is>
      </c>
      <c r="DE73" s="117" t="inlineStr">
        <is>
          <t>27,43x</t>
        </is>
      </c>
      <c r="DF73" s="118" t="inlineStr">
        <is>
          <t>94</t>
        </is>
      </c>
      <c r="DG73" s="119" t="inlineStr">
        <is>
          <t>48,81x</t>
        </is>
      </c>
      <c r="DH73" s="120" t="inlineStr">
        <is>
          <t>97</t>
        </is>
      </c>
      <c r="DI73" s="121" t="inlineStr">
        <is>
          <t>0,33x</t>
        </is>
      </c>
      <c r="DJ73" s="122" t="inlineStr">
        <is>
          <t>32</t>
        </is>
      </c>
      <c r="DK73" s="123" t="inlineStr">
        <is>
          <t>5,19x</t>
        </is>
      </c>
      <c r="DL73" s="124" t="inlineStr">
        <is>
          <t>79</t>
        </is>
      </c>
      <c r="DM73" s="125" t="inlineStr">
        <is>
          <t>10.185</t>
        </is>
      </c>
      <c r="DN73" s="126" t="inlineStr">
        <is>
          <t>-50</t>
        </is>
      </c>
      <c r="DO73" s="127" t="inlineStr">
        <is>
          <t>-0,49%</t>
        </is>
      </c>
      <c r="DP73" s="128" t="inlineStr">
        <is>
          <t>260</t>
        </is>
      </c>
      <c r="DQ73" s="129" t="inlineStr">
        <is>
          <t>2</t>
        </is>
      </c>
      <c r="DR73" s="130" t="inlineStr">
        <is>
          <t>0,78%</t>
        </is>
      </c>
      <c r="DS73" s="131" t="inlineStr">
        <is>
          <t>1.750</t>
        </is>
      </c>
      <c r="DT73" s="132" t="inlineStr">
        <is>
          <t>17</t>
        </is>
      </c>
      <c r="DU73" s="133" t="inlineStr">
        <is>
          <t>0,98%</t>
        </is>
      </c>
      <c r="DV73" s="134" t="inlineStr">
        <is>
          <t>1.938</t>
        </is>
      </c>
      <c r="DW73" s="135" t="inlineStr">
        <is>
          <t>8</t>
        </is>
      </c>
      <c r="DX73" s="136" t="inlineStr">
        <is>
          <t>0,41%</t>
        </is>
      </c>
      <c r="DY73" s="137" t="inlineStr">
        <is>
          <t>PitchBook Research</t>
        </is>
      </c>
      <c r="DZ73" s="785">
        <f>HYPERLINK("https://my.pitchbook.com?c=55361-62", "View company online")</f>
      </c>
    </row>
    <row r="74">
      <c r="A74" s="139" t="inlineStr">
        <is>
          <t>54628-93</t>
        </is>
      </c>
      <c r="B74" s="140" t="inlineStr">
        <is>
          <t>Featurespace</t>
        </is>
      </c>
      <c r="C74" s="141" t="inlineStr">
        <is>
          <t/>
        </is>
      </c>
      <c r="D74" s="142" t="inlineStr">
        <is>
          <t/>
        </is>
      </c>
      <c r="E74" s="143" t="inlineStr">
        <is>
          <t>54628-93</t>
        </is>
      </c>
      <c r="F74" s="144" t="inlineStr">
        <is>
          <t>Developer of adaptive behavioral analytics technology designed to bring new insights through new ways of treating data. The company's adaptive behavioral analytics engine, the ARIC platform, monitors all customer data in real-time, spotting anomalies to block new fraud attacks as they occur and recognizes genuine customers without blocking their activity, enabling organizations to get reduced fraud costs, happier customers and increased revenue.</t>
        </is>
      </c>
      <c r="G74" s="145" t="inlineStr">
        <is>
          <t>Information Technology</t>
        </is>
      </c>
      <c r="H74" s="146" t="inlineStr">
        <is>
          <t>Software</t>
        </is>
      </c>
      <c r="I74" s="147" t="inlineStr">
        <is>
          <t>Business/Productivity Software</t>
        </is>
      </c>
      <c r="J74" s="148" t="inlineStr">
        <is>
          <t>Business/Productivity Software*; Network Management Software</t>
        </is>
      </c>
      <c r="K74" s="149" t="inlineStr">
        <is>
          <t>Artificial Intelligence &amp; Machine Learning, Big Data, Cybersecurity, SaaS</t>
        </is>
      </c>
      <c r="L74" s="150" t="inlineStr">
        <is>
          <t>Venture Capital-Backed</t>
        </is>
      </c>
      <c r="M74" s="151" t="n">
        <v>33.26</v>
      </c>
      <c r="N74" s="152" t="inlineStr">
        <is>
          <t>Profitable</t>
        </is>
      </c>
      <c r="O74" s="153" t="inlineStr">
        <is>
          <t>Privately Held (backing)</t>
        </is>
      </c>
      <c r="P74" s="154" t="inlineStr">
        <is>
          <t>Venture Capital</t>
        </is>
      </c>
      <c r="Q74" s="155" t="inlineStr">
        <is>
          <t>www.featurespace.com</t>
        </is>
      </c>
      <c r="R74" s="156" t="n">
        <v>60.0</v>
      </c>
      <c r="S74" s="157" t="inlineStr">
        <is>
          <t/>
        </is>
      </c>
      <c r="T74" s="158" t="inlineStr">
        <is>
          <t/>
        </is>
      </c>
      <c r="U74" s="159" t="n">
        <v>2005.0</v>
      </c>
      <c r="V74" s="160" t="inlineStr">
        <is>
          <t/>
        </is>
      </c>
      <c r="W74" s="161" t="inlineStr">
        <is>
          <t/>
        </is>
      </c>
      <c r="X74" s="162" t="inlineStr">
        <is>
          <t/>
        </is>
      </c>
      <c r="Y74" s="163" t="n">
        <v>1.54347</v>
      </c>
      <c r="Z74" s="164" t="inlineStr">
        <is>
          <t/>
        </is>
      </c>
      <c r="AA74" s="165" t="inlineStr">
        <is>
          <t/>
        </is>
      </c>
      <c r="AB74" s="166" t="inlineStr">
        <is>
          <t/>
        </is>
      </c>
      <c r="AC74" s="167" t="inlineStr">
        <is>
          <t/>
        </is>
      </c>
      <c r="AD74" s="168" t="inlineStr">
        <is>
          <t>FY 2015</t>
        </is>
      </c>
      <c r="AE74" s="169" t="inlineStr">
        <is>
          <t>66747-25P</t>
        </is>
      </c>
      <c r="AF74" s="170" t="inlineStr">
        <is>
          <t>Martina King</t>
        </is>
      </c>
      <c r="AG74" s="171" t="inlineStr">
        <is>
          <t>Chief Executive Officer &amp; Board Member</t>
        </is>
      </c>
      <c r="AH74" s="172" t="inlineStr">
        <is>
          <t>martina.king@featurespace.com</t>
        </is>
      </c>
      <c r="AI74" s="173" t="inlineStr">
        <is>
          <t>+44 (0)12 2334 5940</t>
        </is>
      </c>
      <c r="AJ74" s="174" t="inlineStr">
        <is>
          <t>Cambridge, United Kingdom</t>
        </is>
      </c>
      <c r="AK74" s="175" t="inlineStr">
        <is>
          <t>Broers Building</t>
        </is>
      </c>
      <c r="AL74" s="176" t="inlineStr">
        <is>
          <t>21 JJ Thomson Avenue</t>
        </is>
      </c>
      <c r="AM74" s="177" t="inlineStr">
        <is>
          <t>Cambridge</t>
        </is>
      </c>
      <c r="AN74" s="178" t="inlineStr">
        <is>
          <t>England</t>
        </is>
      </c>
      <c r="AO74" s="179" t="inlineStr">
        <is>
          <t>CB3 0FA</t>
        </is>
      </c>
      <c r="AP74" s="180" t="inlineStr">
        <is>
          <t>United Kingdom</t>
        </is>
      </c>
      <c r="AQ74" s="181" t="inlineStr">
        <is>
          <t>+44 (0)12 2334 5940</t>
        </is>
      </c>
      <c r="AR74" s="182" t="inlineStr">
        <is>
          <t/>
        </is>
      </c>
      <c r="AS74" s="183" t="inlineStr">
        <is>
          <t>info@featurespace.co.uk</t>
        </is>
      </c>
      <c r="AT74" s="184" t="inlineStr">
        <is>
          <t>Europe</t>
        </is>
      </c>
      <c r="AU74" s="185" t="inlineStr">
        <is>
          <t>Western Europe</t>
        </is>
      </c>
      <c r="AV74" s="186" t="inlineStr">
        <is>
          <t>The company raised GBP 16.5 million of venture funding in a deal led by Highland Capital Partners Europe on October 4, 2017. Worldpay, Invoke Capital, Touchstone Innovations, NESTA, TTV Capital and Robert Sansom also participated in the round. The funds will be used to support the company's international expansion and continued development of its software capabilities. Previously, the company raised GBP 6.2 million of venture funding from lead investor TTV Capital on May 31, 2016, putting the pre-money valuation at GBP 14.57 million. Imperial Innovations Group, Nesta and Cambridge Angels Group also participated. Imperial Innovations Group committed GBP 2.5m to the round and TTV Capital committed GBP 2.4m. The company will use the funding to expand its operations in the UK and US and to continue to grow its expansion in financial services.</t>
        </is>
      </c>
      <c r="AW74" s="187" t="inlineStr">
        <is>
          <t>Cambridge Angels, Cambridge Capital Group, Highland Capital Partners Europe, Invoke Capital, Michael Lynch, Nesta, Touchstone Innovations, TTV Capital, WorldPay</t>
        </is>
      </c>
      <c r="AX74" s="188" t="n">
        <v>9.0</v>
      </c>
      <c r="AY74" s="189" t="inlineStr">
        <is>
          <t/>
        </is>
      </c>
      <c r="AZ74" s="190" t="inlineStr">
        <is>
          <t/>
        </is>
      </c>
      <c r="BA74" s="191" t="inlineStr">
        <is>
          <t/>
        </is>
      </c>
      <c r="BB74" s="192" t="inlineStr">
        <is>
          <t>Cambridge Angels (www.cambridgeangels.com), Cambridge Capital Group (www.cambridgecapitalgroup.co.uk), Highland Capital Partners Europe (www.highlandeurope.com), Invoke Capital (www.invokecapital.com), Nesta (www.nesta.org.uk), Touchstone Innovations (www.touchstoneinnovations.com), TTV Capital (www.ttvcapital.com), WorldPay (www.worldpay.com)</t>
        </is>
      </c>
      <c r="BC74" s="193" t="inlineStr">
        <is>
          <t/>
        </is>
      </c>
      <c r="BD74" s="194" t="inlineStr">
        <is>
          <t/>
        </is>
      </c>
      <c r="BE74" s="195" t="inlineStr">
        <is>
          <t>WY Partners (Advisor: General)</t>
        </is>
      </c>
      <c r="BF74" s="196" t="inlineStr">
        <is>
          <t/>
        </is>
      </c>
      <c r="BG74" s="197" t="n">
        <v>40557.0</v>
      </c>
      <c r="BH74" s="198" t="n">
        <v>1.18</v>
      </c>
      <c r="BI74" s="199" t="inlineStr">
        <is>
          <t>Actual</t>
        </is>
      </c>
      <c r="BJ74" s="200" t="n">
        <v>4.26</v>
      </c>
      <c r="BK74" s="201" t="inlineStr">
        <is>
          <t>Actual</t>
        </is>
      </c>
      <c r="BL74" s="202" t="inlineStr">
        <is>
          <t>Later Stage VC</t>
        </is>
      </c>
      <c r="BM74" s="203" t="inlineStr">
        <is>
          <t>Series A</t>
        </is>
      </c>
      <c r="BN74" s="204" t="inlineStr">
        <is>
          <t/>
        </is>
      </c>
      <c r="BO74" s="205" t="inlineStr">
        <is>
          <t>Venture Capital</t>
        </is>
      </c>
      <c r="BP74" s="206" t="inlineStr">
        <is>
          <t/>
        </is>
      </c>
      <c r="BQ74" s="207" t="inlineStr">
        <is>
          <t/>
        </is>
      </c>
      <c r="BR74" s="208" t="inlineStr">
        <is>
          <t/>
        </is>
      </c>
      <c r="BS74" s="209" t="inlineStr">
        <is>
          <t>Completed</t>
        </is>
      </c>
      <c r="BT74" s="210" t="n">
        <v>43012.0</v>
      </c>
      <c r="BU74" s="211" t="n">
        <v>18.53</v>
      </c>
      <c r="BV74" s="212" t="inlineStr">
        <is>
          <t>Actual</t>
        </is>
      </c>
      <c r="BW74" s="213" t="inlineStr">
        <is>
          <t/>
        </is>
      </c>
      <c r="BX74" s="214" t="inlineStr">
        <is>
          <t/>
        </is>
      </c>
      <c r="BY74" s="215" t="inlineStr">
        <is>
          <t>Later Stage VC</t>
        </is>
      </c>
      <c r="BZ74" s="216" t="inlineStr">
        <is>
          <t/>
        </is>
      </c>
      <c r="CA74" s="217" t="inlineStr">
        <is>
          <t/>
        </is>
      </c>
      <c r="CB74" s="218" t="inlineStr">
        <is>
          <t>Venture Capital</t>
        </is>
      </c>
      <c r="CC74" s="219" t="inlineStr">
        <is>
          <t/>
        </is>
      </c>
      <c r="CD74" s="220" t="inlineStr">
        <is>
          <t/>
        </is>
      </c>
      <c r="CE74" s="221" t="inlineStr">
        <is>
          <t/>
        </is>
      </c>
      <c r="CF74" s="222" t="inlineStr">
        <is>
          <t>Completed</t>
        </is>
      </c>
      <c r="CG74" s="223" t="inlineStr">
        <is>
          <t>1,47%</t>
        </is>
      </c>
      <c r="CH74" s="224" t="inlineStr">
        <is>
          <t>97</t>
        </is>
      </c>
      <c r="CI74" s="225" t="inlineStr">
        <is>
          <t>0,29%</t>
        </is>
      </c>
      <c r="CJ74" s="226" t="inlineStr">
        <is>
          <t>24,10%</t>
        </is>
      </c>
      <c r="CK74" s="227" t="inlineStr">
        <is>
          <t/>
        </is>
      </c>
      <c r="CL74" s="228" t="inlineStr">
        <is>
          <t/>
        </is>
      </c>
      <c r="CM74" s="229" t="inlineStr">
        <is>
          <t>1,47%</t>
        </is>
      </c>
      <c r="CN74" s="230" t="inlineStr">
        <is>
          <t>98</t>
        </is>
      </c>
      <c r="CO74" s="231" t="inlineStr">
        <is>
          <t/>
        </is>
      </c>
      <c r="CP74" s="232" t="inlineStr">
        <is>
          <t/>
        </is>
      </c>
      <c r="CQ74" s="233" t="inlineStr">
        <is>
          <t/>
        </is>
      </c>
      <c r="CR74" s="234" t="inlineStr">
        <is>
          <t/>
        </is>
      </c>
      <c r="CS74" s="235" t="inlineStr">
        <is>
          <t/>
        </is>
      </c>
      <c r="CT74" s="236" t="inlineStr">
        <is>
          <t/>
        </is>
      </c>
      <c r="CU74" s="237" t="inlineStr">
        <is>
          <t>1,47%</t>
        </is>
      </c>
      <c r="CV74" s="238" t="inlineStr">
        <is>
          <t>98</t>
        </is>
      </c>
      <c r="CW74" s="239" t="inlineStr">
        <is>
          <t>1,96x</t>
        </is>
      </c>
      <c r="CX74" s="240" t="inlineStr">
        <is>
          <t>64</t>
        </is>
      </c>
      <c r="CY74" s="241" t="inlineStr">
        <is>
          <t>0,00x</t>
        </is>
      </c>
      <c r="CZ74" s="242" t="inlineStr">
        <is>
          <t>0,16%</t>
        </is>
      </c>
      <c r="DA74" s="243" t="inlineStr">
        <is>
          <t/>
        </is>
      </c>
      <c r="DB74" s="244" t="inlineStr">
        <is>
          <t/>
        </is>
      </c>
      <c r="DC74" s="245" t="inlineStr">
        <is>
          <t>1,96x</t>
        </is>
      </c>
      <c r="DD74" s="246" t="inlineStr">
        <is>
          <t>61</t>
        </is>
      </c>
      <c r="DE74" s="247" t="inlineStr">
        <is>
          <t/>
        </is>
      </c>
      <c r="DF74" s="248" t="inlineStr">
        <is>
          <t/>
        </is>
      </c>
      <c r="DG74" s="249" t="inlineStr">
        <is>
          <t/>
        </is>
      </c>
      <c r="DH74" s="250" t="inlineStr">
        <is>
          <t/>
        </is>
      </c>
      <c r="DI74" s="251" t="inlineStr">
        <is>
          <t/>
        </is>
      </c>
      <c r="DJ74" s="252" t="inlineStr">
        <is>
          <t/>
        </is>
      </c>
      <c r="DK74" s="253" t="inlineStr">
        <is>
          <t>1,96x</t>
        </is>
      </c>
      <c r="DL74" s="254" t="inlineStr">
        <is>
          <t>63</t>
        </is>
      </c>
      <c r="DM74" s="255" t="inlineStr">
        <is>
          <t/>
        </is>
      </c>
      <c r="DN74" s="256" t="inlineStr">
        <is>
          <t/>
        </is>
      </c>
      <c r="DO74" s="257" t="inlineStr">
        <is>
          <t/>
        </is>
      </c>
      <c r="DP74" s="258" t="inlineStr">
        <is>
          <t/>
        </is>
      </c>
      <c r="DQ74" s="259" t="inlineStr">
        <is>
          <t/>
        </is>
      </c>
      <c r="DR74" s="260" t="inlineStr">
        <is>
          <t/>
        </is>
      </c>
      <c r="DS74" s="261" t="inlineStr">
        <is>
          <t/>
        </is>
      </c>
      <c r="DT74" s="262" t="inlineStr">
        <is>
          <t/>
        </is>
      </c>
      <c r="DU74" s="263" t="inlineStr">
        <is>
          <t/>
        </is>
      </c>
      <c r="DV74" s="264" t="inlineStr">
        <is>
          <t>727</t>
        </is>
      </c>
      <c r="DW74" s="265" t="inlineStr">
        <is>
          <t>13</t>
        </is>
      </c>
      <c r="DX74" s="266" t="inlineStr">
        <is>
          <t>1,82%</t>
        </is>
      </c>
      <c r="DY74" s="267" t="inlineStr">
        <is>
          <t>PitchBook Research</t>
        </is>
      </c>
      <c r="DZ74" s="786">
        <f>HYPERLINK("https://my.pitchbook.com?c=54628-93", "View company online")</f>
      </c>
    </row>
    <row r="75">
      <c r="A75" s="9" t="inlineStr">
        <is>
          <t>57459-34</t>
        </is>
      </c>
      <c r="B75" s="10" t="inlineStr">
        <is>
          <t>Beqom</t>
        </is>
      </c>
      <c r="C75" s="11" t="inlineStr">
        <is>
          <t>Excentive International</t>
        </is>
      </c>
      <c r="D75" s="12" t="inlineStr">
        <is>
          <t/>
        </is>
      </c>
      <c r="E75" s="13" t="inlineStr">
        <is>
          <t>57459-34</t>
        </is>
      </c>
      <c r="F75" s="14" t="inlineStr">
        <is>
          <t>Provider of a cloud based compensation management software designed to address all aspects of compensation and performance. The company's compensation management software include sale performance management service, force organization management, partner relationship management, sales analysis and sales crediting, enabling businesses to manage their compensation and performance processes who cannot afford to compromise on their compensation strategy.</t>
        </is>
      </c>
      <c r="G75" s="15" t="inlineStr">
        <is>
          <t>Business Products and Services (B2B)</t>
        </is>
      </c>
      <c r="H75" s="16" t="inlineStr">
        <is>
          <t>Commercial Services</t>
        </is>
      </c>
      <c r="I75" s="17" t="inlineStr">
        <is>
          <t>Human Capital Services</t>
        </is>
      </c>
      <c r="J75" s="18" t="inlineStr">
        <is>
          <t>Human Capital Services*; Business/Productivity Software</t>
        </is>
      </c>
      <c r="K75" s="19" t="inlineStr">
        <is>
          <t>SaaS</t>
        </is>
      </c>
      <c r="L75" s="20" t="inlineStr">
        <is>
          <t>Venture Capital-Backed</t>
        </is>
      </c>
      <c r="M75" s="21" t="n">
        <v>31.1</v>
      </c>
      <c r="N75" s="22" t="inlineStr">
        <is>
          <t>Generating Revenue</t>
        </is>
      </c>
      <c r="O75" s="23" t="inlineStr">
        <is>
          <t>Privately Held (backing)</t>
        </is>
      </c>
      <c r="P75" s="24" t="inlineStr">
        <is>
          <t>Venture Capital</t>
        </is>
      </c>
      <c r="Q75" s="25" t="inlineStr">
        <is>
          <t>www.beqom.com</t>
        </is>
      </c>
      <c r="R75" s="26" t="n">
        <v>110.0</v>
      </c>
      <c r="S75" s="27" t="inlineStr">
        <is>
          <t/>
        </is>
      </c>
      <c r="T75" s="28" t="inlineStr">
        <is>
          <t/>
        </is>
      </c>
      <c r="U75" s="29" t="n">
        <v>2009.0</v>
      </c>
      <c r="V75" s="30" t="inlineStr">
        <is>
          <t/>
        </is>
      </c>
      <c r="W75" s="31" t="inlineStr">
        <is>
          <t/>
        </is>
      </c>
      <c r="X75" s="32" t="inlineStr">
        <is>
          <t/>
        </is>
      </c>
      <c r="Y75" s="33" t="inlineStr">
        <is>
          <t/>
        </is>
      </c>
      <c r="Z75" s="34" t="inlineStr">
        <is>
          <t/>
        </is>
      </c>
      <c r="AA75" s="35" t="inlineStr">
        <is>
          <t/>
        </is>
      </c>
      <c r="AB75" s="36" t="inlineStr">
        <is>
          <t/>
        </is>
      </c>
      <c r="AC75" s="37" t="inlineStr">
        <is>
          <t/>
        </is>
      </c>
      <c r="AD75" s="38" t="inlineStr">
        <is>
          <t/>
        </is>
      </c>
      <c r="AE75" s="39" t="inlineStr">
        <is>
          <t>50654-17P</t>
        </is>
      </c>
      <c r="AF75" s="40" t="inlineStr">
        <is>
          <t>Yves Steinhauser</t>
        </is>
      </c>
      <c r="AG75" s="41" t="inlineStr">
        <is>
          <t>Co-Founder &amp; Chief Financial Officer</t>
        </is>
      </c>
      <c r="AH75" s="42" t="inlineStr">
        <is>
          <t>yves.steinhauser@beqom.com</t>
        </is>
      </c>
      <c r="AI75" s="43" t="inlineStr">
        <is>
          <t>+41 (0)58 255 0800</t>
        </is>
      </c>
      <c r="AJ75" s="44" t="inlineStr">
        <is>
          <t>Fribourg, Switzerland</t>
        </is>
      </c>
      <c r="AK75" s="45" t="inlineStr">
        <is>
          <t>Boulevard de Pérolles 21</t>
        </is>
      </c>
      <c r="AL75" s="46" t="inlineStr">
        <is>
          <t/>
        </is>
      </c>
      <c r="AM75" s="47" t="inlineStr">
        <is>
          <t>Fribourg</t>
        </is>
      </c>
      <c r="AN75" s="48" t="inlineStr">
        <is>
          <t/>
        </is>
      </c>
      <c r="AO75" s="49" t="inlineStr">
        <is>
          <t>1700</t>
        </is>
      </c>
      <c r="AP75" s="50" t="inlineStr">
        <is>
          <t>Switzerland</t>
        </is>
      </c>
      <c r="AQ75" s="51" t="inlineStr">
        <is>
          <t>+41 (0)58 255 0800</t>
        </is>
      </c>
      <c r="AR75" s="52" t="inlineStr">
        <is>
          <t/>
        </is>
      </c>
      <c r="AS75" s="53" t="inlineStr">
        <is>
          <t>info@beqom.com</t>
        </is>
      </c>
      <c r="AT75" s="54" t="inlineStr">
        <is>
          <t>Europe</t>
        </is>
      </c>
      <c r="AU75" s="55" t="inlineStr">
        <is>
          <t>Western Europe</t>
        </is>
      </c>
      <c r="AV75" s="56" t="inlineStr">
        <is>
          <t>The company raised $35 million of venture funding from lead investor Goldman Sachs Private Capital Investing on July 25, 2017. The company intends to use the funds to accelerate their worldwide growth by reinforcing their global presence, increasing the direct sales force and further developing indirect sales channels.</t>
        </is>
      </c>
      <c r="AW75" s="57" t="inlineStr">
        <is>
          <t>BNP Paribas Capital Partners, Goldman Sachs Private Capital Investing Group, IDFC Private Equity, Intel Capital, Renaissance KMU Schweizerische Anlagestiftung, Swisscom Ventures, Vinci Capital</t>
        </is>
      </c>
      <c r="AX75" s="58" t="n">
        <v>7.0</v>
      </c>
      <c r="AY75" s="59" t="inlineStr">
        <is>
          <t/>
        </is>
      </c>
      <c r="AZ75" s="60" t="inlineStr">
        <is>
          <t/>
        </is>
      </c>
      <c r="BA75" s="61" t="inlineStr">
        <is>
          <t/>
        </is>
      </c>
      <c r="BB75" s="62" t="inlineStr">
        <is>
          <t>Intel Capital (www.intelcapital.com), Renaissance KMU Schweizerische Anlagestiftung (www.renaissance.net), Vinci Capital (www.vincicapital.ch)</t>
        </is>
      </c>
      <c r="BC75" s="63" t="inlineStr">
        <is>
          <t/>
        </is>
      </c>
      <c r="BD75" s="64" t="inlineStr">
        <is>
          <t/>
        </is>
      </c>
      <c r="BE75" s="65" t="inlineStr">
        <is>
          <t>PwC (Auditor)</t>
        </is>
      </c>
      <c r="BF75" s="66" t="inlineStr">
        <is>
          <t/>
        </is>
      </c>
      <c r="BG75" s="67" t="n">
        <v>39825.0</v>
      </c>
      <c r="BH75" s="68" t="n">
        <v>0.7</v>
      </c>
      <c r="BI75" s="69" t="inlineStr">
        <is>
          <t>Actual</t>
        </is>
      </c>
      <c r="BJ75" s="70" t="inlineStr">
        <is>
          <t/>
        </is>
      </c>
      <c r="BK75" s="71" t="inlineStr">
        <is>
          <t/>
        </is>
      </c>
      <c r="BL75" s="72" t="inlineStr">
        <is>
          <t>Later Stage VC</t>
        </is>
      </c>
      <c r="BM75" s="73" t="inlineStr">
        <is>
          <t/>
        </is>
      </c>
      <c r="BN75" s="74" t="inlineStr">
        <is>
          <t/>
        </is>
      </c>
      <c r="BO75" s="75" t="inlineStr">
        <is>
          <t>Venture Capital</t>
        </is>
      </c>
      <c r="BP75" s="76" t="inlineStr">
        <is>
          <t/>
        </is>
      </c>
      <c r="BQ75" s="77" t="inlineStr">
        <is>
          <t/>
        </is>
      </c>
      <c r="BR75" s="78" t="inlineStr">
        <is>
          <t/>
        </is>
      </c>
      <c r="BS75" s="79" t="inlineStr">
        <is>
          <t>Completed</t>
        </is>
      </c>
      <c r="BT75" s="80" t="n">
        <v>42941.0</v>
      </c>
      <c r="BU75" s="81" t="n">
        <v>30.4</v>
      </c>
      <c r="BV75" s="82" t="inlineStr">
        <is>
          <t>Actual</t>
        </is>
      </c>
      <c r="BW75" s="83" t="inlineStr">
        <is>
          <t/>
        </is>
      </c>
      <c r="BX75" s="84" t="inlineStr">
        <is>
          <t/>
        </is>
      </c>
      <c r="BY75" s="85" t="inlineStr">
        <is>
          <t>Later Stage VC</t>
        </is>
      </c>
      <c r="BZ75" s="86" t="inlineStr">
        <is>
          <t/>
        </is>
      </c>
      <c r="CA75" s="87" t="inlineStr">
        <is>
          <t/>
        </is>
      </c>
      <c r="CB75" s="88" t="inlineStr">
        <is>
          <t>Venture Capital</t>
        </is>
      </c>
      <c r="CC75" s="89" t="inlineStr">
        <is>
          <t/>
        </is>
      </c>
      <c r="CD75" s="90" t="inlineStr">
        <is>
          <t/>
        </is>
      </c>
      <c r="CE75" s="91" t="inlineStr">
        <is>
          <t/>
        </is>
      </c>
      <c r="CF75" s="92" t="inlineStr">
        <is>
          <t>Completed</t>
        </is>
      </c>
      <c r="CG75" s="93" t="inlineStr">
        <is>
          <t>-0,23%</t>
        </is>
      </c>
      <c r="CH75" s="94" t="inlineStr">
        <is>
          <t>22</t>
        </is>
      </c>
      <c r="CI75" s="95" t="inlineStr">
        <is>
          <t>0,27%</t>
        </is>
      </c>
      <c r="CJ75" s="96" t="inlineStr">
        <is>
          <t>54,10%</t>
        </is>
      </c>
      <c r="CK75" s="97" t="inlineStr">
        <is>
          <t>-3,04%</t>
        </is>
      </c>
      <c r="CL75" s="98" t="inlineStr">
        <is>
          <t>11</t>
        </is>
      </c>
      <c r="CM75" s="99" t="inlineStr">
        <is>
          <t>2,12%</t>
        </is>
      </c>
      <c r="CN75" s="100" t="inlineStr">
        <is>
          <t>99</t>
        </is>
      </c>
      <c r="CO75" s="101" t="inlineStr">
        <is>
          <t>-2,83%</t>
        </is>
      </c>
      <c r="CP75" s="102" t="inlineStr">
        <is>
          <t>27</t>
        </is>
      </c>
      <c r="CQ75" s="103" t="inlineStr">
        <is>
          <t>-3,25%</t>
        </is>
      </c>
      <c r="CR75" s="104" t="inlineStr">
        <is>
          <t>1</t>
        </is>
      </c>
      <c r="CS75" s="105" t="inlineStr">
        <is>
          <t>0,31%</t>
        </is>
      </c>
      <c r="CT75" s="106" t="inlineStr">
        <is>
          <t>78</t>
        </is>
      </c>
      <c r="CU75" s="107" t="inlineStr">
        <is>
          <t>3,92%</t>
        </is>
      </c>
      <c r="CV75" s="108" t="inlineStr">
        <is>
          <t>100</t>
        </is>
      </c>
      <c r="CW75" s="109" t="inlineStr">
        <is>
          <t>1,29x</t>
        </is>
      </c>
      <c r="CX75" s="110" t="inlineStr">
        <is>
          <t>55</t>
        </is>
      </c>
      <c r="CY75" s="111" t="inlineStr">
        <is>
          <t>0,03x</t>
        </is>
      </c>
      <c r="CZ75" s="112" t="inlineStr">
        <is>
          <t>2,23%</t>
        </is>
      </c>
      <c r="DA75" s="113" t="inlineStr">
        <is>
          <t>2,78x</t>
        </is>
      </c>
      <c r="DB75" s="114" t="inlineStr">
        <is>
          <t>73</t>
        </is>
      </c>
      <c r="DC75" s="115" t="inlineStr">
        <is>
          <t>0,69x</t>
        </is>
      </c>
      <c r="DD75" s="116" t="inlineStr">
        <is>
          <t>41</t>
        </is>
      </c>
      <c r="DE75" s="117" t="inlineStr">
        <is>
          <t>1,06x</t>
        </is>
      </c>
      <c r="DF75" s="118" t="inlineStr">
        <is>
          <t>52</t>
        </is>
      </c>
      <c r="DG75" s="119" t="inlineStr">
        <is>
          <t>4,50x</t>
        </is>
      </c>
      <c r="DH75" s="120" t="inlineStr">
        <is>
          <t>78</t>
        </is>
      </c>
      <c r="DI75" s="121" t="inlineStr">
        <is>
          <t>0,20x</t>
        </is>
      </c>
      <c r="DJ75" s="122" t="inlineStr">
        <is>
          <t>23</t>
        </is>
      </c>
      <c r="DK75" s="123" t="inlineStr">
        <is>
          <t>1,17x</t>
        </is>
      </c>
      <c r="DL75" s="124" t="inlineStr">
        <is>
          <t>53</t>
        </is>
      </c>
      <c r="DM75" s="125" t="inlineStr">
        <is>
          <t>394</t>
        </is>
      </c>
      <c r="DN75" s="126" t="inlineStr">
        <is>
          <t>2</t>
        </is>
      </c>
      <c r="DO75" s="127" t="inlineStr">
        <is>
          <t>0,51%</t>
        </is>
      </c>
      <c r="DP75" s="128" t="inlineStr">
        <is>
          <t>162</t>
        </is>
      </c>
      <c r="DQ75" s="129" t="inlineStr">
        <is>
          <t>1</t>
        </is>
      </c>
      <c r="DR75" s="130" t="inlineStr">
        <is>
          <t>0,62%</t>
        </is>
      </c>
      <c r="DS75" s="131" t="inlineStr">
        <is>
          <t>162</t>
        </is>
      </c>
      <c r="DT75" s="132" t="inlineStr">
        <is>
          <t>-5</t>
        </is>
      </c>
      <c r="DU75" s="133" t="inlineStr">
        <is>
          <t>-2,99%</t>
        </is>
      </c>
      <c r="DV75" s="134" t="inlineStr">
        <is>
          <t>398</t>
        </is>
      </c>
      <c r="DW75" s="135" t="inlineStr">
        <is>
          <t>54</t>
        </is>
      </c>
      <c r="DX75" s="136" t="inlineStr">
        <is>
          <t>15,70%</t>
        </is>
      </c>
      <c r="DY75" s="137" t="inlineStr">
        <is>
          <t>PitchBook Research</t>
        </is>
      </c>
      <c r="DZ75" s="785">
        <f>HYPERLINK("https://my.pitchbook.com?c=57459-34", "View company online")</f>
      </c>
    </row>
    <row r="76">
      <c r="A76" s="139" t="inlineStr">
        <is>
          <t>60308-56</t>
        </is>
      </c>
      <c r="B76" s="140" t="inlineStr">
        <is>
          <t>Tokamak Energy</t>
        </is>
      </c>
      <c r="C76" s="141" t="inlineStr">
        <is>
          <t>Tokamak Solutions</t>
        </is>
      </c>
      <c r="D76" s="142" t="inlineStr">
        <is>
          <t/>
        </is>
      </c>
      <c r="E76" s="143" t="inlineStr">
        <is>
          <t>60308-56</t>
        </is>
      </c>
      <c r="F76" s="144" t="inlineStr">
        <is>
          <t>Developer of a fusion power device intended to offer clean energy commercially. The company's fusion power device are designed and developed in form of a spherical and compact fusion reactors for fusion energy research and other applications.</t>
        </is>
      </c>
      <c r="G76" s="145" t="inlineStr">
        <is>
          <t>Business Products and Services (B2B)</t>
        </is>
      </c>
      <c r="H76" s="146" t="inlineStr">
        <is>
          <t>Commercial Products</t>
        </is>
      </c>
      <c r="I76" s="147" t="inlineStr">
        <is>
          <t>Industrial Supplies and Parts</t>
        </is>
      </c>
      <c r="J76" s="148" t="inlineStr">
        <is>
          <t>Industrial Supplies and Parts*; Other Commercial Products</t>
        </is>
      </c>
      <c r="K76" s="149" t="inlineStr">
        <is>
          <t>CleanTech</t>
        </is>
      </c>
      <c r="L76" s="150" t="inlineStr">
        <is>
          <t>Venture Capital-Backed</t>
        </is>
      </c>
      <c r="M76" s="151" t="n">
        <v>30.04</v>
      </c>
      <c r="N76" s="152" t="inlineStr">
        <is>
          <t>Generating Revenue</t>
        </is>
      </c>
      <c r="O76" s="153" t="inlineStr">
        <is>
          <t>Privately Held (backing)</t>
        </is>
      </c>
      <c r="P76" s="154" t="inlineStr">
        <is>
          <t>Venture Capital</t>
        </is>
      </c>
      <c r="Q76" s="155" t="inlineStr">
        <is>
          <t>www.tokamakenergy.co.uk</t>
        </is>
      </c>
      <c r="R76" s="156" t="n">
        <v>14.0</v>
      </c>
      <c r="S76" s="157" t="inlineStr">
        <is>
          <t/>
        </is>
      </c>
      <c r="T76" s="158" t="inlineStr">
        <is>
          <t/>
        </is>
      </c>
      <c r="U76" s="159" t="n">
        <v>2009.0</v>
      </c>
      <c r="V76" s="160" t="inlineStr">
        <is>
          <t/>
        </is>
      </c>
      <c r="W76" s="161" t="inlineStr">
        <is>
          <t/>
        </is>
      </c>
      <c r="X76" s="162" t="inlineStr">
        <is>
          <t/>
        </is>
      </c>
      <c r="Y76" s="163" t="n">
        <v>0.11446</v>
      </c>
      <c r="Z76" s="164" t="inlineStr">
        <is>
          <t/>
        </is>
      </c>
      <c r="AA76" s="165" t="n">
        <v>-0.16024</v>
      </c>
      <c r="AB76" s="166" t="inlineStr">
        <is>
          <t/>
        </is>
      </c>
      <c r="AC76" s="167" t="inlineStr">
        <is>
          <t/>
        </is>
      </c>
      <c r="AD76" s="168" t="inlineStr">
        <is>
          <t>FY 2012</t>
        </is>
      </c>
      <c r="AE76" s="169" t="inlineStr">
        <is>
          <t>56601-46P</t>
        </is>
      </c>
      <c r="AF76" s="170" t="inlineStr">
        <is>
          <t>David Kingham</t>
        </is>
      </c>
      <c r="AG76" s="171" t="inlineStr">
        <is>
          <t>Board Member &amp; Chief Executive Officer</t>
        </is>
      </c>
      <c r="AH76" s="172" t="inlineStr">
        <is>
          <t>david.kingham@tokamakenergy.co.uk</t>
        </is>
      </c>
      <c r="AI76" s="173" t="inlineStr">
        <is>
          <t>+44 (0)77 6893 3001</t>
        </is>
      </c>
      <c r="AJ76" s="174" t="inlineStr">
        <is>
          <t>Oxfordshire, United Kingdom</t>
        </is>
      </c>
      <c r="AK76" s="175" t="inlineStr">
        <is>
          <t>120A Olympic Avenue</t>
        </is>
      </c>
      <c r="AL76" s="176" t="inlineStr">
        <is>
          <t>Milton Park</t>
        </is>
      </c>
      <c r="AM76" s="177" t="inlineStr">
        <is>
          <t>Oxfordshire</t>
        </is>
      </c>
      <c r="AN76" s="178" t="inlineStr">
        <is>
          <t>England</t>
        </is>
      </c>
      <c r="AO76" s="179" t="inlineStr">
        <is>
          <t>OX14 4SA</t>
        </is>
      </c>
      <c r="AP76" s="180" t="inlineStr">
        <is>
          <t>United Kingdom</t>
        </is>
      </c>
      <c r="AQ76" s="181" t="inlineStr">
        <is>
          <t>+44 (0)12 3535 5940</t>
        </is>
      </c>
      <c r="AR76" s="182" t="inlineStr">
        <is>
          <t/>
        </is>
      </c>
      <c r="AS76" s="183" t="inlineStr">
        <is>
          <t>info@tokamakenergy.co.uk</t>
        </is>
      </c>
      <c r="AT76" s="184" t="inlineStr">
        <is>
          <t>Europe</t>
        </is>
      </c>
      <c r="AU76" s="185" t="inlineStr">
        <is>
          <t>Western Europe</t>
        </is>
      </c>
      <c r="AV76" s="186" t="inlineStr">
        <is>
          <t>The company raised $9.92 of venture funding from Rainbow Seedfund, Institution of Mechanical Engineers and Oxford Instruments on January 30, 2017. Legal &amp; General Capital also participated in this round. Previously, the company raised GBP 9.8 million of venture funding from Institution of Mechanical Engineers and other undisclosed investors on August 12, 2016, putting the pre-money valuation at GBP 51.48 million.</t>
        </is>
      </c>
      <c r="AW76" s="187" t="inlineStr">
        <is>
          <t>Individual Investor, Institution of Mechanical Engineers, Legal &amp; General Capital, Midven, Oxford Early Investments, Oxford Instruments, Rainbow Seedfund</t>
        </is>
      </c>
      <c r="AX76" s="188" t="n">
        <v>7.0</v>
      </c>
      <c r="AY76" s="189" t="inlineStr">
        <is>
          <t/>
        </is>
      </c>
      <c r="AZ76" s="190" t="inlineStr">
        <is>
          <t/>
        </is>
      </c>
      <c r="BA76" s="191" t="inlineStr">
        <is>
          <t/>
        </is>
      </c>
      <c r="BB76" s="192" t="inlineStr">
        <is>
          <t>Institution of Mechanical Engineers (www.imeche.org), Legal &amp; General Capital (www.legalandgeneralcapital.com), Midven (www.midven.co.uk), Oxford Early Investments (www.oxei.co.uk), Oxford Instruments (www.oxford-instruments.com), Rainbow Seedfund (www.rainbowseedfund.com)</t>
        </is>
      </c>
      <c r="BC76" s="193" t="inlineStr">
        <is>
          <t/>
        </is>
      </c>
      <c r="BD76" s="194" t="inlineStr">
        <is>
          <t/>
        </is>
      </c>
      <c r="BE76" s="195" t="inlineStr">
        <is>
          <t/>
        </is>
      </c>
      <c r="BF76" s="196" t="inlineStr">
        <is>
          <t/>
        </is>
      </c>
      <c r="BG76" s="197" t="inlineStr">
        <is>
          <t/>
        </is>
      </c>
      <c r="BH76" s="198" t="n">
        <v>0.68</v>
      </c>
      <c r="BI76" s="199" t="inlineStr">
        <is>
          <t>Actual</t>
        </is>
      </c>
      <c r="BJ76" s="200" t="inlineStr">
        <is>
          <t/>
        </is>
      </c>
      <c r="BK76" s="201" t="inlineStr">
        <is>
          <t/>
        </is>
      </c>
      <c r="BL76" s="202" t="inlineStr">
        <is>
          <t>Grant</t>
        </is>
      </c>
      <c r="BM76" s="203" t="inlineStr">
        <is>
          <t/>
        </is>
      </c>
      <c r="BN76" s="204" t="inlineStr">
        <is>
          <t/>
        </is>
      </c>
      <c r="BO76" s="205" t="inlineStr">
        <is>
          <t>Other</t>
        </is>
      </c>
      <c r="BP76" s="206" t="inlineStr">
        <is>
          <t/>
        </is>
      </c>
      <c r="BQ76" s="207" t="inlineStr">
        <is>
          <t/>
        </is>
      </c>
      <c r="BR76" s="208" t="inlineStr">
        <is>
          <t/>
        </is>
      </c>
      <c r="BS76" s="209" t="inlineStr">
        <is>
          <t>Completed</t>
        </is>
      </c>
      <c r="BT76" s="210" t="n">
        <v>42765.0</v>
      </c>
      <c r="BU76" s="211" t="n">
        <v>9.34</v>
      </c>
      <c r="BV76" s="212" t="inlineStr">
        <is>
          <t>Actual</t>
        </is>
      </c>
      <c r="BW76" s="213" t="inlineStr">
        <is>
          <t/>
        </is>
      </c>
      <c r="BX76" s="214" t="inlineStr">
        <is>
          <t/>
        </is>
      </c>
      <c r="BY76" s="215" t="inlineStr">
        <is>
          <t>Later Stage VC</t>
        </is>
      </c>
      <c r="BZ76" s="216" t="inlineStr">
        <is>
          <t/>
        </is>
      </c>
      <c r="CA76" s="217" t="inlineStr">
        <is>
          <t/>
        </is>
      </c>
      <c r="CB76" s="218" t="inlineStr">
        <is>
          <t>Venture Capital</t>
        </is>
      </c>
      <c r="CC76" s="219" t="inlineStr">
        <is>
          <t/>
        </is>
      </c>
      <c r="CD76" s="220" t="inlineStr">
        <is>
          <t/>
        </is>
      </c>
      <c r="CE76" s="221" t="inlineStr">
        <is>
          <t/>
        </is>
      </c>
      <c r="CF76" s="222" t="inlineStr">
        <is>
          <t>Completed</t>
        </is>
      </c>
      <c r="CG76" s="223" t="inlineStr">
        <is>
          <t>-0,31%</t>
        </is>
      </c>
      <c r="CH76" s="224" t="inlineStr">
        <is>
          <t>21</t>
        </is>
      </c>
      <c r="CI76" s="225" t="inlineStr">
        <is>
          <t>0,03%</t>
        </is>
      </c>
      <c r="CJ76" s="226" t="inlineStr">
        <is>
          <t>10,15%</t>
        </is>
      </c>
      <c r="CK76" s="227" t="inlineStr">
        <is>
          <t>-1,22%</t>
        </is>
      </c>
      <c r="CL76" s="228" t="inlineStr">
        <is>
          <t>18</t>
        </is>
      </c>
      <c r="CM76" s="229" t="inlineStr">
        <is>
          <t>0,60%</t>
        </is>
      </c>
      <c r="CN76" s="230" t="inlineStr">
        <is>
          <t>91</t>
        </is>
      </c>
      <c r="CO76" s="231" t="inlineStr">
        <is>
          <t>-8,15%</t>
        </is>
      </c>
      <c r="CP76" s="232" t="inlineStr">
        <is>
          <t>15</t>
        </is>
      </c>
      <c r="CQ76" s="233" t="inlineStr">
        <is>
          <t>5,72%</t>
        </is>
      </c>
      <c r="CR76" s="234" t="inlineStr">
        <is>
          <t>99</t>
        </is>
      </c>
      <c r="CS76" s="235" t="inlineStr">
        <is>
          <t/>
        </is>
      </c>
      <c r="CT76" s="236" t="inlineStr">
        <is>
          <t/>
        </is>
      </c>
      <c r="CU76" s="237" t="inlineStr">
        <is>
          <t>0,60%</t>
        </is>
      </c>
      <c r="CV76" s="238" t="inlineStr">
        <is>
          <t>93</t>
        </is>
      </c>
      <c r="CW76" s="239" t="inlineStr">
        <is>
          <t>6,67x</t>
        </is>
      </c>
      <c r="CX76" s="240" t="inlineStr">
        <is>
          <t>83</t>
        </is>
      </c>
      <c r="CY76" s="241" t="inlineStr">
        <is>
          <t>0,15x</t>
        </is>
      </c>
      <c r="CZ76" s="242" t="inlineStr">
        <is>
          <t>2,29%</t>
        </is>
      </c>
      <c r="DA76" s="243" t="inlineStr">
        <is>
          <t>7,64x</t>
        </is>
      </c>
      <c r="DB76" s="244" t="inlineStr">
        <is>
          <t>86</t>
        </is>
      </c>
      <c r="DC76" s="245" t="inlineStr">
        <is>
          <t>5,69x</t>
        </is>
      </c>
      <c r="DD76" s="246" t="inlineStr">
        <is>
          <t>78</t>
        </is>
      </c>
      <c r="DE76" s="247" t="inlineStr">
        <is>
          <t>0,50x</t>
        </is>
      </c>
      <c r="DF76" s="248" t="inlineStr">
        <is>
          <t>33</t>
        </is>
      </c>
      <c r="DG76" s="249" t="inlineStr">
        <is>
          <t>14,78x</t>
        </is>
      </c>
      <c r="DH76" s="250" t="inlineStr">
        <is>
          <t>91</t>
        </is>
      </c>
      <c r="DI76" s="251" t="inlineStr">
        <is>
          <t/>
        </is>
      </c>
      <c r="DJ76" s="252" t="inlineStr">
        <is>
          <t/>
        </is>
      </c>
      <c r="DK76" s="253" t="inlineStr">
        <is>
          <t>5,69x</t>
        </is>
      </c>
      <c r="DL76" s="254" t="inlineStr">
        <is>
          <t>81</t>
        </is>
      </c>
      <c r="DM76" s="255" t="inlineStr">
        <is>
          <t>188</t>
        </is>
      </c>
      <c r="DN76" s="256" t="inlineStr">
        <is>
          <t>-8</t>
        </is>
      </c>
      <c r="DO76" s="257" t="inlineStr">
        <is>
          <t>-4,08%</t>
        </is>
      </c>
      <c r="DP76" s="258" t="inlineStr">
        <is>
          <t/>
        </is>
      </c>
      <c r="DQ76" s="259" t="inlineStr">
        <is>
          <t/>
        </is>
      </c>
      <c r="DR76" s="260" t="inlineStr">
        <is>
          <t/>
        </is>
      </c>
      <c r="DS76" s="261" t="inlineStr">
        <is>
          <t>521</t>
        </is>
      </c>
      <c r="DT76" s="262" t="inlineStr">
        <is>
          <t>23</t>
        </is>
      </c>
      <c r="DU76" s="263" t="inlineStr">
        <is>
          <t>4,62%</t>
        </is>
      </c>
      <c r="DV76" s="264" t="inlineStr">
        <is>
          <t>2.127</t>
        </is>
      </c>
      <c r="DW76" s="265" t="inlineStr">
        <is>
          <t>16</t>
        </is>
      </c>
      <c r="DX76" s="266" t="inlineStr">
        <is>
          <t>0,76%</t>
        </is>
      </c>
      <c r="DY76" s="267" t="inlineStr">
        <is>
          <t>PitchBook Research</t>
        </is>
      </c>
      <c r="DZ76" s="786">
        <f>HYPERLINK("https://my.pitchbook.com?c=60308-56", "View company online")</f>
      </c>
    </row>
    <row r="77">
      <c r="A77" s="9" t="inlineStr">
        <is>
          <t>56858-23</t>
        </is>
      </c>
      <c r="B77" s="10" t="inlineStr">
        <is>
          <t>Cynora</t>
        </is>
      </c>
      <c r="C77" s="11" t="inlineStr">
        <is>
          <t/>
        </is>
      </c>
      <c r="D77" s="12" t="inlineStr">
        <is>
          <t/>
        </is>
      </c>
      <c r="E77" s="13" t="inlineStr">
        <is>
          <t>56858-23</t>
        </is>
      </c>
      <c r="F77" s="14" t="inlineStr">
        <is>
          <t>Developer of organic semiconductors designed to produce display and lighting equipments. The company's organic semiconductors focuses on light-emitting diodes and organic solar cells and also produces optoelectronic materials and liquid-processable polymers which are used to produce thin films as a carrier of the light emitting diodes and the solar cells, enabling customers to get energy saving semiconductors suitable for future flexible OLED devices.</t>
        </is>
      </c>
      <c r="G77" s="15" t="inlineStr">
        <is>
          <t>Information Technology</t>
        </is>
      </c>
      <c r="H77" s="16" t="inlineStr">
        <is>
          <t>Semiconductors</t>
        </is>
      </c>
      <c r="I77" s="17" t="inlineStr">
        <is>
          <t>General Purpose Semiconductors</t>
        </is>
      </c>
      <c r="J77" s="18" t="inlineStr">
        <is>
          <t>General Purpose Semiconductors*; Electronics (B2C); Other Semiconductors</t>
        </is>
      </c>
      <c r="K77" s="19" t="inlineStr">
        <is>
          <t>CleanTech</t>
        </is>
      </c>
      <c r="L77" s="20" t="inlineStr">
        <is>
          <t>Venture Capital-Backed</t>
        </is>
      </c>
      <c r="M77" s="21" t="n">
        <v>28.0</v>
      </c>
      <c r="N77" s="22" t="inlineStr">
        <is>
          <t>Generating Revenue</t>
        </is>
      </c>
      <c r="O77" s="23" t="inlineStr">
        <is>
          <t>Privately Held (backing)</t>
        </is>
      </c>
      <c r="P77" s="24" t="inlineStr">
        <is>
          <t>Venture Capital, Private Equity</t>
        </is>
      </c>
      <c r="Q77" s="25" t="inlineStr">
        <is>
          <t>www.cynora.com</t>
        </is>
      </c>
      <c r="R77" s="26" t="n">
        <v>28.0</v>
      </c>
      <c r="S77" s="27" t="inlineStr">
        <is>
          <t/>
        </is>
      </c>
      <c r="T77" s="28" t="inlineStr">
        <is>
          <t/>
        </is>
      </c>
      <c r="U77" s="29" t="n">
        <v>2003.0</v>
      </c>
      <c r="V77" s="30" t="inlineStr">
        <is>
          <t/>
        </is>
      </c>
      <c r="W77" s="31" t="inlineStr">
        <is>
          <t/>
        </is>
      </c>
      <c r="X77" s="32" t="inlineStr">
        <is>
          <t/>
        </is>
      </c>
      <c r="Y77" s="33" t="inlineStr">
        <is>
          <t/>
        </is>
      </c>
      <c r="Z77" s="34" t="inlineStr">
        <is>
          <t/>
        </is>
      </c>
      <c r="AA77" s="35" t="inlineStr">
        <is>
          <t/>
        </is>
      </c>
      <c r="AB77" s="36" t="inlineStr">
        <is>
          <t/>
        </is>
      </c>
      <c r="AC77" s="37" t="inlineStr">
        <is>
          <t/>
        </is>
      </c>
      <c r="AD77" s="38" t="inlineStr">
        <is>
          <t/>
        </is>
      </c>
      <c r="AE77" s="39" t="inlineStr">
        <is>
          <t>49271-05P</t>
        </is>
      </c>
      <c r="AF77" s="40" t="inlineStr">
        <is>
          <t>Thomas Baumann</t>
        </is>
      </c>
      <c r="AG77" s="41" t="inlineStr">
        <is>
          <t>Co-Founder &amp; Chief Scientific Officer</t>
        </is>
      </c>
      <c r="AH77" s="42" t="inlineStr">
        <is>
          <t>baumann@cynora.com</t>
        </is>
      </c>
      <c r="AI77" s="43" t="inlineStr">
        <is>
          <t>+49 (0)72 5191 9670</t>
        </is>
      </c>
      <c r="AJ77" s="44" t="inlineStr">
        <is>
          <t>Bruchsal, Germany</t>
        </is>
      </c>
      <c r="AK77" s="45" t="inlineStr">
        <is>
          <t>Werner-von-Siemens-Straße 2-6</t>
        </is>
      </c>
      <c r="AL77" s="46" t="inlineStr">
        <is>
          <t>Building 5110</t>
        </is>
      </c>
      <c r="AM77" s="47" t="inlineStr">
        <is>
          <t>Bruchsal</t>
        </is>
      </c>
      <c r="AN77" s="48" t="inlineStr">
        <is>
          <t/>
        </is>
      </c>
      <c r="AO77" s="49" t="inlineStr">
        <is>
          <t>76646</t>
        </is>
      </c>
      <c r="AP77" s="50" t="inlineStr">
        <is>
          <t>Germany</t>
        </is>
      </c>
      <c r="AQ77" s="51" t="inlineStr">
        <is>
          <t>+49 (0)72 5191 9670</t>
        </is>
      </c>
      <c r="AR77" s="52" t="inlineStr">
        <is>
          <t>+49 (0)72 5191 9679 9</t>
        </is>
      </c>
      <c r="AS77" s="53" t="inlineStr">
        <is>
          <t>info@cynora.com</t>
        </is>
      </c>
      <c r="AT77" s="54" t="inlineStr">
        <is>
          <t>Europe</t>
        </is>
      </c>
      <c r="AU77" s="55" t="inlineStr">
        <is>
          <t>Western Europe</t>
        </is>
      </c>
      <c r="AV77" s="56" t="inlineStr">
        <is>
          <t>The company raised $25 million of Series B venture funding from LG Display and Samsung Ventures Investment on September 14, 2017. The funds will be used to support the company in the development of a portfolio of organic emitting materials for AMOLED displays that covers the full range of colors.</t>
        </is>
      </c>
      <c r="AW77" s="57" t="inlineStr">
        <is>
          <t>HMW Innovations, KfW IPEX-Bank, Lg Display, MIG, Samsung Venture Investment, Wecken &amp; Cie</t>
        </is>
      </c>
      <c r="AX77" s="58" t="n">
        <v>6.0</v>
      </c>
      <c r="AY77" s="59" t="inlineStr">
        <is>
          <t/>
        </is>
      </c>
      <c r="AZ77" s="60" t="inlineStr">
        <is>
          <t>InnovationLab, nanoValley.eu</t>
        </is>
      </c>
      <c r="BA77" s="61" t="inlineStr">
        <is>
          <t/>
        </is>
      </c>
      <c r="BB77" s="62" t="inlineStr">
        <is>
          <t>HMW Innovations (www.hmw-innovations.ag), KfW IPEX-Bank (www.kfw-ipex-bank.de), Lg Display (www.lgdisplay.com), MIG (www.migllc-group.com), Samsung Venture Investment (www.samsungventures.com)</t>
        </is>
      </c>
      <c r="BC77" s="63" t="inlineStr">
        <is>
          <t>InnovationLab (www.innovationlab.de), nanoValley.eu (www.nanovalley.eu)</t>
        </is>
      </c>
      <c r="BD77" s="64" t="inlineStr">
        <is>
          <t/>
        </is>
      </c>
      <c r="BE77" s="65" t="inlineStr">
        <is>
          <t/>
        </is>
      </c>
      <c r="BF77" s="66" t="inlineStr">
        <is>
          <t>CatCap Corporate Finance (Advisor: General)</t>
        </is>
      </c>
      <c r="BG77" s="67" t="inlineStr">
        <is>
          <t/>
        </is>
      </c>
      <c r="BH77" s="68" t="inlineStr">
        <is>
          <t/>
        </is>
      </c>
      <c r="BI77" s="69" t="inlineStr">
        <is>
          <t/>
        </is>
      </c>
      <c r="BJ77" s="70" t="inlineStr">
        <is>
          <t/>
        </is>
      </c>
      <c r="BK77" s="71" t="inlineStr">
        <is>
          <t/>
        </is>
      </c>
      <c r="BL77" s="72" t="inlineStr">
        <is>
          <t>Early Stage VC</t>
        </is>
      </c>
      <c r="BM77" s="73" t="inlineStr">
        <is>
          <t/>
        </is>
      </c>
      <c r="BN77" s="74" t="inlineStr">
        <is>
          <t/>
        </is>
      </c>
      <c r="BO77" s="75" t="inlineStr">
        <is>
          <t>Venture Capital</t>
        </is>
      </c>
      <c r="BP77" s="76" t="inlineStr">
        <is>
          <t/>
        </is>
      </c>
      <c r="BQ77" s="77" t="inlineStr">
        <is>
          <t/>
        </is>
      </c>
      <c r="BR77" s="78" t="inlineStr">
        <is>
          <t/>
        </is>
      </c>
      <c r="BS77" s="79" t="inlineStr">
        <is>
          <t>Completed</t>
        </is>
      </c>
      <c r="BT77" s="80" t="n">
        <v>42992.0</v>
      </c>
      <c r="BU77" s="81" t="n">
        <v>25.0</v>
      </c>
      <c r="BV77" s="82" t="inlineStr">
        <is>
          <t>Actual</t>
        </is>
      </c>
      <c r="BW77" s="83" t="inlineStr">
        <is>
          <t/>
        </is>
      </c>
      <c r="BX77" s="84" t="inlineStr">
        <is>
          <t/>
        </is>
      </c>
      <c r="BY77" s="85" t="inlineStr">
        <is>
          <t>Later Stage VC</t>
        </is>
      </c>
      <c r="BZ77" s="86" t="inlineStr">
        <is>
          <t>Series B</t>
        </is>
      </c>
      <c r="CA77" s="87" t="inlineStr">
        <is>
          <t/>
        </is>
      </c>
      <c r="CB77" s="88" t="inlineStr">
        <is>
          <t>Venture Capital</t>
        </is>
      </c>
      <c r="CC77" s="89" t="inlineStr">
        <is>
          <t/>
        </is>
      </c>
      <c r="CD77" s="90" t="inlineStr">
        <is>
          <t/>
        </is>
      </c>
      <c r="CE77" s="91" t="inlineStr">
        <is>
          <t/>
        </is>
      </c>
      <c r="CF77" s="92" t="inlineStr">
        <is>
          <t>Completed</t>
        </is>
      </c>
      <c r="CG77" s="93" t="inlineStr">
        <is>
          <t>0,41%</t>
        </is>
      </c>
      <c r="CH77" s="94" t="inlineStr">
        <is>
          <t>91</t>
        </is>
      </c>
      <c r="CI77" s="95" t="inlineStr">
        <is>
          <t>-0,14%</t>
        </is>
      </c>
      <c r="CJ77" s="96" t="inlineStr">
        <is>
          <t>-25,67%</t>
        </is>
      </c>
      <c r="CK77" s="97" t="inlineStr">
        <is>
          <t>0,58%</t>
        </is>
      </c>
      <c r="CL77" s="98" t="inlineStr">
        <is>
          <t>93</t>
        </is>
      </c>
      <c r="CM77" s="99" t="inlineStr">
        <is>
          <t>0,24%</t>
        </is>
      </c>
      <c r="CN77" s="100" t="inlineStr">
        <is>
          <t>75</t>
        </is>
      </c>
      <c r="CO77" s="101" t="inlineStr">
        <is>
          <t>0,00%</t>
        </is>
      </c>
      <c r="CP77" s="102" t="inlineStr">
        <is>
          <t>37</t>
        </is>
      </c>
      <c r="CQ77" s="103" t="inlineStr">
        <is>
          <t>1,16%</t>
        </is>
      </c>
      <c r="CR77" s="104" t="inlineStr">
        <is>
          <t>94</t>
        </is>
      </c>
      <c r="CS77" s="105" t="inlineStr">
        <is>
          <t>0,47%</t>
        </is>
      </c>
      <c r="CT77" s="106" t="inlineStr">
        <is>
          <t>86</t>
        </is>
      </c>
      <c r="CU77" s="107" t="inlineStr">
        <is>
          <t>0,00%</t>
        </is>
      </c>
      <c r="CV77" s="108" t="inlineStr">
        <is>
          <t>21</t>
        </is>
      </c>
      <c r="CW77" s="109" t="inlineStr">
        <is>
          <t>3,80x</t>
        </is>
      </c>
      <c r="CX77" s="110" t="inlineStr">
        <is>
          <t>76</t>
        </is>
      </c>
      <c r="CY77" s="111" t="inlineStr">
        <is>
          <t>0,04x</t>
        </is>
      </c>
      <c r="CZ77" s="112" t="inlineStr">
        <is>
          <t>1,12%</t>
        </is>
      </c>
      <c r="DA77" s="113" t="inlineStr">
        <is>
          <t>7,45x</t>
        </is>
      </c>
      <c r="DB77" s="114" t="inlineStr">
        <is>
          <t>86</t>
        </is>
      </c>
      <c r="DC77" s="115" t="inlineStr">
        <is>
          <t>0,15x</t>
        </is>
      </c>
      <c r="DD77" s="116" t="inlineStr">
        <is>
          <t>17</t>
        </is>
      </c>
      <c r="DE77" s="117" t="inlineStr">
        <is>
          <t>0,29x</t>
        </is>
      </c>
      <c r="DF77" s="118" t="inlineStr">
        <is>
          <t>21</t>
        </is>
      </c>
      <c r="DG77" s="119" t="inlineStr">
        <is>
          <t>14,61x</t>
        </is>
      </c>
      <c r="DH77" s="120" t="inlineStr">
        <is>
          <t>91</t>
        </is>
      </c>
      <c r="DI77" s="121" t="inlineStr">
        <is>
          <t>0,14x</t>
        </is>
      </c>
      <c r="DJ77" s="122" t="inlineStr">
        <is>
          <t>18</t>
        </is>
      </c>
      <c r="DK77" s="123" t="inlineStr">
        <is>
          <t>0,16x</t>
        </is>
      </c>
      <c r="DL77" s="124" t="inlineStr">
        <is>
          <t>21</t>
        </is>
      </c>
      <c r="DM77" s="125" t="inlineStr">
        <is>
          <t>121</t>
        </is>
      </c>
      <c r="DN77" s="126" t="inlineStr">
        <is>
          <t>-65</t>
        </is>
      </c>
      <c r="DO77" s="127" t="inlineStr">
        <is>
          <t>-34,95%</t>
        </is>
      </c>
      <c r="DP77" s="128" t="inlineStr">
        <is>
          <t>109</t>
        </is>
      </c>
      <c r="DQ77" s="129" t="inlineStr">
        <is>
          <t>1</t>
        </is>
      </c>
      <c r="DR77" s="130" t="inlineStr">
        <is>
          <t>0,93%</t>
        </is>
      </c>
      <c r="DS77" s="131" t="inlineStr">
        <is>
          <t>523</t>
        </is>
      </c>
      <c r="DT77" s="132" t="inlineStr">
        <is>
          <t>5</t>
        </is>
      </c>
      <c r="DU77" s="133" t="inlineStr">
        <is>
          <t>0,97%</t>
        </is>
      </c>
      <c r="DV77" s="134" t="inlineStr">
        <is>
          <t>58</t>
        </is>
      </c>
      <c r="DW77" s="135" t="inlineStr">
        <is>
          <t>1</t>
        </is>
      </c>
      <c r="DX77" s="136" t="inlineStr">
        <is>
          <t>1,75%</t>
        </is>
      </c>
      <c r="DY77" s="137" t="inlineStr">
        <is>
          <t>PitchBook Research</t>
        </is>
      </c>
      <c r="DZ77" s="785">
        <f>HYPERLINK("https://my.pitchbook.com?c=56858-23", "View company online")</f>
      </c>
    </row>
    <row r="78">
      <c r="A78" s="139" t="inlineStr">
        <is>
          <t>156143-62</t>
        </is>
      </c>
      <c r="B78" s="140" t="inlineStr">
        <is>
          <t>Verve (Sales Platform)</t>
        </is>
      </c>
      <c r="C78" s="141" t="inlineStr">
        <is>
          <t>The Physical Network, StreetTeam</t>
        </is>
      </c>
      <c r="D78" s="142" t="inlineStr">
        <is>
          <t/>
        </is>
      </c>
      <c r="E78" s="143" t="inlineStr">
        <is>
          <t>156143-62</t>
        </is>
      </c>
      <c r="F78" s="144" t="inlineStr">
        <is>
          <t>Provider of a peer-to-peer sales software platform designed to enable brands to easily run advocacy programs. The company provides a peer-to-peer ticketing software makes it simple to create, recruit, manage, reward and retain a highly engaged network of brand advocates.</t>
        </is>
      </c>
      <c r="G78" s="145" t="inlineStr">
        <is>
          <t>Information Technology</t>
        </is>
      </c>
      <c r="H78" s="146" t="inlineStr">
        <is>
          <t>Software</t>
        </is>
      </c>
      <c r="I78" s="147" t="inlineStr">
        <is>
          <t>Social/Platform Software</t>
        </is>
      </c>
      <c r="J78" s="148" t="inlineStr">
        <is>
          <t>Social/Platform Software*; Internet Retail</t>
        </is>
      </c>
      <c r="K78" s="149" t="inlineStr">
        <is>
          <t>Mobile</t>
        </is>
      </c>
      <c r="L78" s="150" t="inlineStr">
        <is>
          <t>Venture Capital-Backed</t>
        </is>
      </c>
      <c r="M78" s="151" t="n">
        <v>27.76</v>
      </c>
      <c r="N78" s="152" t="inlineStr">
        <is>
          <t>Generating Revenue</t>
        </is>
      </c>
      <c r="O78" s="153" t="inlineStr">
        <is>
          <t>Privately Held (backing)</t>
        </is>
      </c>
      <c r="P78" s="154" t="inlineStr">
        <is>
          <t>Venture Capital</t>
        </is>
      </c>
      <c r="Q78" s="155" t="inlineStr">
        <is>
          <t>www.verve.co</t>
        </is>
      </c>
      <c r="R78" s="156" t="inlineStr">
        <is>
          <t/>
        </is>
      </c>
      <c r="S78" s="157" t="inlineStr">
        <is>
          <t/>
        </is>
      </c>
      <c r="T78" s="158" t="inlineStr">
        <is>
          <t/>
        </is>
      </c>
      <c r="U78" s="159" t="n">
        <v>2012.0</v>
      </c>
      <c r="V78" s="160" t="inlineStr">
        <is>
          <t/>
        </is>
      </c>
      <c r="W78" s="161" t="inlineStr">
        <is>
          <t/>
        </is>
      </c>
      <c r="X78" s="162" t="inlineStr">
        <is>
          <t/>
        </is>
      </c>
      <c r="Y78" s="163" t="n">
        <v>2.37148</v>
      </c>
      <c r="Z78" s="164" t="inlineStr">
        <is>
          <t/>
        </is>
      </c>
      <c r="AA78" s="165" t="inlineStr">
        <is>
          <t/>
        </is>
      </c>
      <c r="AB78" s="166" t="inlineStr">
        <is>
          <t/>
        </is>
      </c>
      <c r="AC78" s="167" t="inlineStr">
        <is>
          <t/>
        </is>
      </c>
      <c r="AD78" s="168" t="inlineStr">
        <is>
          <t>FY 2016</t>
        </is>
      </c>
      <c r="AE78" s="169" t="inlineStr">
        <is>
          <t>131630-50P</t>
        </is>
      </c>
      <c r="AF78" s="170" t="inlineStr">
        <is>
          <t>Callum Negus-Fancey</t>
        </is>
      </c>
      <c r="AG78" s="171" t="inlineStr">
        <is>
          <t>Co-Founder, Board Member &amp; Chief Executive Officer</t>
        </is>
      </c>
      <c r="AH78" s="172" t="inlineStr">
        <is>
          <t/>
        </is>
      </c>
      <c r="AI78" s="173" t="inlineStr">
        <is>
          <t>+44 (0)20 3808 6532</t>
        </is>
      </c>
      <c r="AJ78" s="174" t="inlineStr">
        <is>
          <t>London, United Kingdom</t>
        </is>
      </c>
      <c r="AK78" s="175" t="inlineStr">
        <is>
          <t>3 Loughborough Street</t>
        </is>
      </c>
      <c r="AL78" s="176" t="inlineStr">
        <is>
          <t/>
        </is>
      </c>
      <c r="AM78" s="177" t="inlineStr">
        <is>
          <t>London</t>
        </is>
      </c>
      <c r="AN78" s="178" t="inlineStr">
        <is>
          <t>England</t>
        </is>
      </c>
      <c r="AO78" s="179" t="inlineStr">
        <is>
          <t>SE11 5RB</t>
        </is>
      </c>
      <c r="AP78" s="180" t="inlineStr">
        <is>
          <t>United Kingdom</t>
        </is>
      </c>
      <c r="AQ78" s="181" t="inlineStr">
        <is>
          <t>+44 (0)20 3808 6532</t>
        </is>
      </c>
      <c r="AR78" s="182" t="inlineStr">
        <is>
          <t/>
        </is>
      </c>
      <c r="AS78" s="183" t="inlineStr">
        <is>
          <t>contactus@verve.co</t>
        </is>
      </c>
      <c r="AT78" s="184" t="inlineStr">
        <is>
          <t>Europe</t>
        </is>
      </c>
      <c r="AU78" s="185" t="inlineStr">
        <is>
          <t>Western Europe</t>
        </is>
      </c>
      <c r="AV78" s="186" t="inlineStr">
        <is>
          <t>The company raised $18.5 million of Series B venture funding from lead investor Draper Esprit on October 10, 2017. Kindred Capital, Frontline Ventures and Backed VC also participated in the round. The funds will be used to further develop the product, hire more developers and bolstering sales as the startup readies for further international expansion. Previously, the company raised $10 million of venture funding in a deal led by Kindred Capital, Frontline Ventures, Spring Partners and Backed VC on October 10, 2016.</t>
        </is>
      </c>
      <c r="AW78" s="187" t="inlineStr">
        <is>
          <t>Backed VC, Draper Esprit, Frontline Ventures, Kindred Capital, Peter Davies, SAATCHiNVEST, Spring Capital Partners, Universal Music Group</t>
        </is>
      </c>
      <c r="AX78" s="188" t="n">
        <v>8.0</v>
      </c>
      <c r="AY78" s="189" t="inlineStr">
        <is>
          <t/>
        </is>
      </c>
      <c r="AZ78" s="190" t="inlineStr">
        <is>
          <t/>
        </is>
      </c>
      <c r="BA78" s="191" t="inlineStr">
        <is>
          <t/>
        </is>
      </c>
      <c r="BB78" s="192" t="inlineStr">
        <is>
          <t>Backed VC (www.backed.vc), Draper Esprit (www.draperesprit.com), Frontline Ventures (www.frontline.vc), Kindred Capital (www.kindredcapital.vc), SAATCHiNVEST (www.saatchinvest.com), Spring Capital Partners (www.springcap.com), Universal Music Group (www.universalmusic.com)</t>
        </is>
      </c>
      <c r="BC78" s="193" t="inlineStr">
        <is>
          <t/>
        </is>
      </c>
      <c r="BD78" s="194" t="inlineStr">
        <is>
          <t/>
        </is>
      </c>
      <c r="BE78" s="195" t="inlineStr">
        <is>
          <t>Founders Keepers (Consulting)</t>
        </is>
      </c>
      <c r="BF78" s="196" t="inlineStr">
        <is>
          <t/>
        </is>
      </c>
      <c r="BG78" s="197" t="inlineStr">
        <is>
          <t/>
        </is>
      </c>
      <c r="BH78" s="198" t="n">
        <v>2.98</v>
      </c>
      <c r="BI78" s="199" t="inlineStr">
        <is>
          <t>Actual</t>
        </is>
      </c>
      <c r="BJ78" s="200" t="inlineStr">
        <is>
          <t/>
        </is>
      </c>
      <c r="BK78" s="201" t="inlineStr">
        <is>
          <t/>
        </is>
      </c>
      <c r="BL78" s="202" t="inlineStr">
        <is>
          <t>Seed Round</t>
        </is>
      </c>
      <c r="BM78" s="203" t="inlineStr">
        <is>
          <t>Seed</t>
        </is>
      </c>
      <c r="BN78" s="204" t="inlineStr">
        <is>
          <t/>
        </is>
      </c>
      <c r="BO78" s="205" t="inlineStr">
        <is>
          <t>Venture Capital</t>
        </is>
      </c>
      <c r="BP78" s="206" t="inlineStr">
        <is>
          <t/>
        </is>
      </c>
      <c r="BQ78" s="207" t="inlineStr">
        <is>
          <t/>
        </is>
      </c>
      <c r="BR78" s="208" t="inlineStr">
        <is>
          <t/>
        </is>
      </c>
      <c r="BS78" s="209" t="inlineStr">
        <is>
          <t>Completed</t>
        </is>
      </c>
      <c r="BT78" s="210" t="n">
        <v>43018.0</v>
      </c>
      <c r="BU78" s="211" t="n">
        <v>15.73</v>
      </c>
      <c r="BV78" s="212" t="inlineStr">
        <is>
          <t>Actual</t>
        </is>
      </c>
      <c r="BW78" s="213" t="inlineStr">
        <is>
          <t/>
        </is>
      </c>
      <c r="BX78" s="214" t="inlineStr">
        <is>
          <t/>
        </is>
      </c>
      <c r="BY78" s="215" t="inlineStr">
        <is>
          <t>Later Stage VC</t>
        </is>
      </c>
      <c r="BZ78" s="216" t="inlineStr">
        <is>
          <t>Series B</t>
        </is>
      </c>
      <c r="CA78" s="217" t="inlineStr">
        <is>
          <t/>
        </is>
      </c>
      <c r="CB78" s="218" t="inlineStr">
        <is>
          <t>Venture Capital</t>
        </is>
      </c>
      <c r="CC78" s="219" t="inlineStr">
        <is>
          <t/>
        </is>
      </c>
      <c r="CD78" s="220" t="inlineStr">
        <is>
          <t/>
        </is>
      </c>
      <c r="CE78" s="221" t="inlineStr">
        <is>
          <t/>
        </is>
      </c>
      <c r="CF78" s="222" t="inlineStr">
        <is>
          <t>Completed</t>
        </is>
      </c>
      <c r="CG78" s="223" t="inlineStr">
        <is>
          <t>0,16%</t>
        </is>
      </c>
      <c r="CH78" s="224" t="inlineStr">
        <is>
          <t>85</t>
        </is>
      </c>
      <c r="CI78" s="225" t="inlineStr">
        <is>
          <t>0,16%</t>
        </is>
      </c>
      <c r="CJ78" s="226" t="inlineStr">
        <is>
          <t>0,00%</t>
        </is>
      </c>
      <c r="CK78" s="227" t="inlineStr">
        <is>
          <t>0,00%</t>
        </is>
      </c>
      <c r="CL78" s="228" t="inlineStr">
        <is>
          <t>28</t>
        </is>
      </c>
      <c r="CM78" s="229" t="inlineStr">
        <is>
          <t>0,32%</t>
        </is>
      </c>
      <c r="CN78" s="230" t="inlineStr">
        <is>
          <t>81</t>
        </is>
      </c>
      <c r="CO78" s="231" t="inlineStr">
        <is>
          <t/>
        </is>
      </c>
      <c r="CP78" s="232" t="inlineStr">
        <is>
          <t/>
        </is>
      </c>
      <c r="CQ78" s="233" t="inlineStr">
        <is>
          <t>0,00%</t>
        </is>
      </c>
      <c r="CR78" s="234" t="inlineStr">
        <is>
          <t>20</t>
        </is>
      </c>
      <c r="CS78" s="235" t="inlineStr">
        <is>
          <t>0,67%</t>
        </is>
      </c>
      <c r="CT78" s="236" t="inlineStr">
        <is>
          <t>91</t>
        </is>
      </c>
      <c r="CU78" s="237" t="inlineStr">
        <is>
          <t>-0,03%</t>
        </is>
      </c>
      <c r="CV78" s="238" t="inlineStr">
        <is>
          <t>17</t>
        </is>
      </c>
      <c r="CW78" s="239" t="inlineStr">
        <is>
          <t>0,81x</t>
        </is>
      </c>
      <c r="CX78" s="240" t="inlineStr">
        <is>
          <t>44</t>
        </is>
      </c>
      <c r="CY78" s="241" t="inlineStr">
        <is>
          <t>0,59x</t>
        </is>
      </c>
      <c r="CZ78" s="242" t="inlineStr">
        <is>
          <t>265,71%</t>
        </is>
      </c>
      <c r="DA78" s="243" t="inlineStr">
        <is>
          <t>0,22x</t>
        </is>
      </c>
      <c r="DB78" s="244" t="inlineStr">
        <is>
          <t>19</t>
        </is>
      </c>
      <c r="DC78" s="245" t="inlineStr">
        <is>
          <t>1,40x</t>
        </is>
      </c>
      <c r="DD78" s="246" t="inlineStr">
        <is>
          <t>55</t>
        </is>
      </c>
      <c r="DE78" s="247" t="inlineStr">
        <is>
          <t/>
        </is>
      </c>
      <c r="DF78" s="248" t="inlineStr">
        <is>
          <t/>
        </is>
      </c>
      <c r="DG78" s="249" t="inlineStr">
        <is>
          <t>0,22x</t>
        </is>
      </c>
      <c r="DH78" s="250" t="inlineStr">
        <is>
          <t>20</t>
        </is>
      </c>
      <c r="DI78" s="251" t="inlineStr">
        <is>
          <t>0,84x</t>
        </is>
      </c>
      <c r="DJ78" s="252" t="inlineStr">
        <is>
          <t>47</t>
        </is>
      </c>
      <c r="DK78" s="253" t="inlineStr">
        <is>
          <t>1,97x</t>
        </is>
      </c>
      <c r="DL78" s="254" t="inlineStr">
        <is>
          <t>63</t>
        </is>
      </c>
      <c r="DM78" s="255" t="inlineStr">
        <is>
          <t/>
        </is>
      </c>
      <c r="DN78" s="256" t="inlineStr">
        <is>
          <t/>
        </is>
      </c>
      <c r="DO78" s="257" t="inlineStr">
        <is>
          <t/>
        </is>
      </c>
      <c r="DP78" s="258" t="inlineStr">
        <is>
          <t>661</t>
        </is>
      </c>
      <c r="DQ78" s="259" t="inlineStr">
        <is>
          <t>4</t>
        </is>
      </c>
      <c r="DR78" s="260" t="inlineStr">
        <is>
          <t>0,61%</t>
        </is>
      </c>
      <c r="DS78" s="261" t="inlineStr">
        <is>
          <t>8</t>
        </is>
      </c>
      <c r="DT78" s="262" t="inlineStr">
        <is>
          <t>0</t>
        </is>
      </c>
      <c r="DU78" s="263" t="inlineStr">
        <is>
          <t>0,00%</t>
        </is>
      </c>
      <c r="DV78" s="264" t="inlineStr">
        <is>
          <t>737</t>
        </is>
      </c>
      <c r="DW78" s="265" t="inlineStr">
        <is>
          <t>-2</t>
        </is>
      </c>
      <c r="DX78" s="266" t="inlineStr">
        <is>
          <t>-0,27%</t>
        </is>
      </c>
      <c r="DY78" s="267" t="inlineStr">
        <is>
          <t>PitchBook Research</t>
        </is>
      </c>
      <c r="DZ78" s="786">
        <f>HYPERLINK("https://my.pitchbook.com?c=156143-62", "View company online")</f>
      </c>
    </row>
    <row r="79">
      <c r="A79" s="9" t="inlineStr">
        <is>
          <t>58178-62</t>
        </is>
      </c>
      <c r="B79" s="10" t="inlineStr">
        <is>
          <t>Ieso Digital Health</t>
        </is>
      </c>
      <c r="C79" s="11" t="inlineStr">
        <is>
          <t>PsychologyOnline</t>
        </is>
      </c>
      <c r="D79" s="12" t="inlineStr">
        <is>
          <t/>
        </is>
      </c>
      <c r="E79" s="13" t="inlineStr">
        <is>
          <t>58178-62</t>
        </is>
      </c>
      <c r="F79" s="14" t="inlineStr">
        <is>
          <t>Developer of digital mental health delivery platform designed to transform mental health delivery. The company's evidence-based cognitive behavioral therapy (CBT) platform uses a proprietary technology, augmented with natural language processing and artificial intelligence, to offer real-time monitoring of therapist protocol adherence and risk detection, while providing guidance to the therapist in relation to clinical decision support to systemize practice and reduce variation in treatment, enabling therapists and health providers to deliver a meaningful clinical outcome at lowest cost.</t>
        </is>
      </c>
      <c r="G79" s="15" t="inlineStr">
        <is>
          <t>Healthcare</t>
        </is>
      </c>
      <c r="H79" s="16" t="inlineStr">
        <is>
          <t>Healthcare Services</t>
        </is>
      </c>
      <c r="I79" s="17" t="inlineStr">
        <is>
          <t>Other Healthcare Services</t>
        </is>
      </c>
      <c r="J79" s="18" t="inlineStr">
        <is>
          <t>Other Healthcare Services*; Decision/Risk Analysis; Outcome Management (Healthcare)</t>
        </is>
      </c>
      <c r="K79" s="19" t="inlineStr">
        <is>
          <t>Artificial Intelligence &amp; Machine Learning, Big Data, HealthTech, SaaS</t>
        </is>
      </c>
      <c r="L79" s="20" t="inlineStr">
        <is>
          <t>Venture Capital-Backed</t>
        </is>
      </c>
      <c r="M79" s="21" t="n">
        <v>27.46</v>
      </c>
      <c r="N79" s="22" t="inlineStr">
        <is>
          <t>Generating Revenue</t>
        </is>
      </c>
      <c r="O79" s="23" t="inlineStr">
        <is>
          <t>Privately Held (backing)</t>
        </is>
      </c>
      <c r="P79" s="24" t="inlineStr">
        <is>
          <t>Venture Capital</t>
        </is>
      </c>
      <c r="Q79" s="25" t="inlineStr">
        <is>
          <t>www.iesohealth.com</t>
        </is>
      </c>
      <c r="R79" s="26" t="n">
        <v>59.0</v>
      </c>
      <c r="S79" s="27" t="inlineStr">
        <is>
          <t/>
        </is>
      </c>
      <c r="T79" s="28" t="inlineStr">
        <is>
          <t/>
        </is>
      </c>
      <c r="U79" s="29" t="n">
        <v>2000.0</v>
      </c>
      <c r="V79" s="30" t="inlineStr">
        <is>
          <t/>
        </is>
      </c>
      <c r="W79" s="31" t="inlineStr">
        <is>
          <t/>
        </is>
      </c>
      <c r="X79" s="32" t="inlineStr">
        <is>
          <t/>
        </is>
      </c>
      <c r="Y79" s="33" t="inlineStr">
        <is>
          <t/>
        </is>
      </c>
      <c r="Z79" s="34" t="inlineStr">
        <is>
          <t/>
        </is>
      </c>
      <c r="AA79" s="35" t="inlineStr">
        <is>
          <t/>
        </is>
      </c>
      <c r="AB79" s="36" t="inlineStr">
        <is>
          <t/>
        </is>
      </c>
      <c r="AC79" s="37" t="inlineStr">
        <is>
          <t/>
        </is>
      </c>
      <c r="AD79" s="38" t="inlineStr">
        <is>
          <t/>
        </is>
      </c>
      <c r="AE79" s="39" t="inlineStr">
        <is>
          <t>54445-15P</t>
        </is>
      </c>
      <c r="AF79" s="40" t="inlineStr">
        <is>
          <t>Barnaby Perks</t>
        </is>
      </c>
      <c r="AG79" s="41" t="inlineStr">
        <is>
          <t>Founder &amp; UK Managing Director</t>
        </is>
      </c>
      <c r="AH79" s="42" t="inlineStr">
        <is>
          <t>b.perks@iesohealth.com</t>
        </is>
      </c>
      <c r="AI79" s="43" t="inlineStr">
        <is>
          <t>+44 (0)19 5423 0066</t>
        </is>
      </c>
      <c r="AJ79" s="44" t="inlineStr">
        <is>
          <t>Cambridge, United Kingdom</t>
        </is>
      </c>
      <c r="AK79" s="45" t="inlineStr">
        <is>
          <t>The Grange</t>
        </is>
      </c>
      <c r="AL79" s="46" t="inlineStr">
        <is>
          <t>20 Market Street, Swavesey</t>
        </is>
      </c>
      <c r="AM79" s="47" t="inlineStr">
        <is>
          <t>Cambridge</t>
        </is>
      </c>
      <c r="AN79" s="48" t="inlineStr">
        <is>
          <t>England</t>
        </is>
      </c>
      <c r="AO79" s="49" t="inlineStr">
        <is>
          <t>CB24 4QG</t>
        </is>
      </c>
      <c r="AP79" s="50" t="inlineStr">
        <is>
          <t>United Kingdom</t>
        </is>
      </c>
      <c r="AQ79" s="51" t="inlineStr">
        <is>
          <t>+44 (0)19 5423 0066</t>
        </is>
      </c>
      <c r="AR79" s="52" t="inlineStr">
        <is>
          <t/>
        </is>
      </c>
      <c r="AS79" s="53" t="inlineStr">
        <is>
          <t>info@iesohealth.com</t>
        </is>
      </c>
      <c r="AT79" s="54" t="inlineStr">
        <is>
          <t>Europe</t>
        </is>
      </c>
      <c r="AU79" s="55" t="inlineStr">
        <is>
          <t>Western Europe</t>
        </is>
      </c>
      <c r="AV79" s="56" t="inlineStr">
        <is>
          <t>The company raised GBP 18 million of venture funding from lead investors Draper Esprit and Touchstone Innovation on September 12, 2017. Ananda Ventures and other undisclosed angel investors also participated in the round. The funds will be used to grow is UK business and accelerate its expansion into the US.</t>
        </is>
      </c>
      <c r="AW79" s="57" t="inlineStr">
        <is>
          <t>Ananda Ventures, Cambridge Angels, Cambridge Capital Group, ClearlySo, Continuity Capital Partners, Draper Esprit, Harvard Business School Alumni Angels of London, Martlet, Peter Cowley, Touchstone Innovations</t>
        </is>
      </c>
      <c r="AX79" s="58" t="n">
        <v>10.0</v>
      </c>
      <c r="AY79" s="59" t="inlineStr">
        <is>
          <t/>
        </is>
      </c>
      <c r="AZ79" s="60" t="inlineStr">
        <is>
          <t/>
        </is>
      </c>
      <c r="BA79" s="61" t="inlineStr">
        <is>
          <t/>
        </is>
      </c>
      <c r="BB79" s="62" t="inlineStr">
        <is>
          <t>Ananda Ventures (www.socialventurefund.com), Cambridge Angels (www.cambridgeangels.com), Cambridge Capital Group (www.cambridgecapitalgroup.co.uk), ClearlySo (www.clearlyso.com), Continuity Capital Partners (www.continuitycp.com), Draper Esprit (www.draperesprit.com), Harvard Business School Alumni Angels of London (gust.com), Martlet (www.martlet-angel.com), Peter Cowley (www.petercowley.org), Touchstone Innovations (www.touchstoneinnovations.com)</t>
        </is>
      </c>
      <c r="BC79" s="63" t="inlineStr">
        <is>
          <t/>
        </is>
      </c>
      <c r="BD79" s="64" t="inlineStr">
        <is>
          <t/>
        </is>
      </c>
      <c r="BE79" s="65" t="inlineStr">
        <is>
          <t/>
        </is>
      </c>
      <c r="BF79" s="66" t="inlineStr">
        <is>
          <t>ClearlySo (Placement Agent)</t>
        </is>
      </c>
      <c r="BG79" s="67" t="n">
        <v>40725.0</v>
      </c>
      <c r="BH79" s="68" t="n">
        <v>0.54</v>
      </c>
      <c r="BI79" s="69" t="inlineStr">
        <is>
          <t>Actual</t>
        </is>
      </c>
      <c r="BJ79" s="70" t="n">
        <v>0.86</v>
      </c>
      <c r="BK79" s="71" t="inlineStr">
        <is>
          <t>Actual</t>
        </is>
      </c>
      <c r="BL79" s="72" t="inlineStr">
        <is>
          <t>Seed Round</t>
        </is>
      </c>
      <c r="BM79" s="73" t="inlineStr">
        <is>
          <t>Seed</t>
        </is>
      </c>
      <c r="BN79" s="74" t="inlineStr">
        <is>
          <t/>
        </is>
      </c>
      <c r="BO79" s="75" t="inlineStr">
        <is>
          <t>Venture Capital</t>
        </is>
      </c>
      <c r="BP79" s="76" t="inlineStr">
        <is>
          <t/>
        </is>
      </c>
      <c r="BQ79" s="77" t="inlineStr">
        <is>
          <t/>
        </is>
      </c>
      <c r="BR79" s="78" t="inlineStr">
        <is>
          <t/>
        </is>
      </c>
      <c r="BS79" s="79" t="inlineStr">
        <is>
          <t>Completed</t>
        </is>
      </c>
      <c r="BT79" s="80" t="n">
        <v>42990.0</v>
      </c>
      <c r="BU79" s="81" t="n">
        <v>20.07</v>
      </c>
      <c r="BV79" s="82" t="inlineStr">
        <is>
          <t>Actual</t>
        </is>
      </c>
      <c r="BW79" s="83" t="inlineStr">
        <is>
          <t/>
        </is>
      </c>
      <c r="BX79" s="84" t="inlineStr">
        <is>
          <t/>
        </is>
      </c>
      <c r="BY79" s="85" t="inlineStr">
        <is>
          <t>Later Stage VC</t>
        </is>
      </c>
      <c r="BZ79" s="86" t="inlineStr">
        <is>
          <t/>
        </is>
      </c>
      <c r="CA79" s="87" t="inlineStr">
        <is>
          <t/>
        </is>
      </c>
      <c r="CB79" s="88" t="inlineStr">
        <is>
          <t>Venture Capital</t>
        </is>
      </c>
      <c r="CC79" s="89" t="inlineStr">
        <is>
          <t/>
        </is>
      </c>
      <c r="CD79" s="90" t="inlineStr">
        <is>
          <t/>
        </is>
      </c>
      <c r="CE79" s="91" t="inlineStr">
        <is>
          <t/>
        </is>
      </c>
      <c r="CF79" s="92" t="inlineStr">
        <is>
          <t>Completed</t>
        </is>
      </c>
      <c r="CG79" s="93" t="inlineStr">
        <is>
          <t>-0,59%</t>
        </is>
      </c>
      <c r="CH79" s="94" t="inlineStr">
        <is>
          <t>18</t>
        </is>
      </c>
      <c r="CI79" s="95" t="inlineStr">
        <is>
          <t>0,01%</t>
        </is>
      </c>
      <c r="CJ79" s="96" t="inlineStr">
        <is>
          <t>2,12%</t>
        </is>
      </c>
      <c r="CK79" s="97" t="inlineStr">
        <is>
          <t>-2,12%</t>
        </is>
      </c>
      <c r="CL79" s="98" t="inlineStr">
        <is>
          <t>14</t>
        </is>
      </c>
      <c r="CM79" s="99" t="inlineStr">
        <is>
          <t>0,94%</t>
        </is>
      </c>
      <c r="CN79" s="100" t="inlineStr">
        <is>
          <t>95</t>
        </is>
      </c>
      <c r="CO79" s="101" t="inlineStr">
        <is>
          <t/>
        </is>
      </c>
      <c r="CP79" s="102" t="inlineStr">
        <is>
          <t/>
        </is>
      </c>
      <c r="CQ79" s="103" t="inlineStr">
        <is>
          <t>-2,12%</t>
        </is>
      </c>
      <c r="CR79" s="104" t="inlineStr">
        <is>
          <t>3</t>
        </is>
      </c>
      <c r="CS79" s="105" t="inlineStr">
        <is>
          <t>1,15%</t>
        </is>
      </c>
      <c r="CT79" s="106" t="inlineStr">
        <is>
          <t>95</t>
        </is>
      </c>
      <c r="CU79" s="107" t="inlineStr">
        <is>
          <t>0,73%</t>
        </is>
      </c>
      <c r="CV79" s="108" t="inlineStr">
        <is>
          <t>95</t>
        </is>
      </c>
      <c r="CW79" s="109" t="inlineStr">
        <is>
          <t>7,47x</t>
        </is>
      </c>
      <c r="CX79" s="110" t="inlineStr">
        <is>
          <t>85</t>
        </is>
      </c>
      <c r="CY79" s="111" t="inlineStr">
        <is>
          <t>-0,07x</t>
        </is>
      </c>
      <c r="CZ79" s="112" t="inlineStr">
        <is>
          <t>-0,93%</t>
        </is>
      </c>
      <c r="DA79" s="113" t="inlineStr">
        <is>
          <t>1,97x</t>
        </is>
      </c>
      <c r="DB79" s="114" t="inlineStr">
        <is>
          <t>66</t>
        </is>
      </c>
      <c r="DC79" s="115" t="inlineStr">
        <is>
          <t>12,96x</t>
        </is>
      </c>
      <c r="DD79" s="116" t="inlineStr">
        <is>
          <t>86</t>
        </is>
      </c>
      <c r="DE79" s="117" t="inlineStr">
        <is>
          <t/>
        </is>
      </c>
      <c r="DF79" s="118" t="inlineStr">
        <is>
          <t/>
        </is>
      </c>
      <c r="DG79" s="119" t="inlineStr">
        <is>
          <t>1,97x</t>
        </is>
      </c>
      <c r="DH79" s="120" t="inlineStr">
        <is>
          <t>64</t>
        </is>
      </c>
      <c r="DI79" s="121" t="inlineStr">
        <is>
          <t>13,57x</t>
        </is>
      </c>
      <c r="DJ79" s="122" t="inlineStr">
        <is>
          <t>84</t>
        </is>
      </c>
      <c r="DK79" s="123" t="inlineStr">
        <is>
          <t>12,36x</t>
        </is>
      </c>
      <c r="DL79" s="124" t="inlineStr">
        <is>
          <t>89</t>
        </is>
      </c>
      <c r="DM79" s="125" t="inlineStr">
        <is>
          <t/>
        </is>
      </c>
      <c r="DN79" s="126" t="inlineStr">
        <is>
          <t/>
        </is>
      </c>
      <c r="DO79" s="127" t="inlineStr">
        <is>
          <t/>
        </is>
      </c>
      <c r="DP79" s="128" t="inlineStr">
        <is>
          <t>10.701</t>
        </is>
      </c>
      <c r="DQ79" s="129" t="inlineStr">
        <is>
          <t>97</t>
        </is>
      </c>
      <c r="DR79" s="130" t="inlineStr">
        <is>
          <t>0,91%</t>
        </is>
      </c>
      <c r="DS79" s="131" t="inlineStr">
        <is>
          <t>73</t>
        </is>
      </c>
      <c r="DT79" s="132" t="inlineStr">
        <is>
          <t>-6</t>
        </is>
      </c>
      <c r="DU79" s="133" t="inlineStr">
        <is>
          <t>-7,59%</t>
        </is>
      </c>
      <c r="DV79" s="134" t="inlineStr">
        <is>
          <t>4.604</t>
        </is>
      </c>
      <c r="DW79" s="135" t="inlineStr">
        <is>
          <t>47</t>
        </is>
      </c>
      <c r="DX79" s="136" t="inlineStr">
        <is>
          <t>1,03%</t>
        </is>
      </c>
      <c r="DY79" s="137" t="inlineStr">
        <is>
          <t>PitchBook Research</t>
        </is>
      </c>
      <c r="DZ79" s="785">
        <f>HYPERLINK("https://my.pitchbook.com?c=58178-62", "View company online")</f>
      </c>
    </row>
    <row r="80">
      <c r="A80" s="139" t="inlineStr">
        <is>
          <t>59246-11</t>
        </is>
      </c>
      <c r="B80" s="140" t="inlineStr">
        <is>
          <t>Crowdcube</t>
        </is>
      </c>
      <c r="C80" s="141" t="inlineStr">
        <is>
          <t/>
        </is>
      </c>
      <c r="D80" s="142" t="inlineStr">
        <is>
          <t/>
        </is>
      </c>
      <c r="E80" s="143" t="inlineStr">
        <is>
          <t>59246-11</t>
        </is>
      </c>
      <c r="F80" s="144" t="inlineStr">
        <is>
          <t>Provider of an equity crowd-funding platform designed to help companies raise equity capital. The company's equity crowd-funding platform is a Web-based platform that connects with potential investors, enabling entrepreneurs of start-ups and growing businesses to raise capital funding and eventually grow their businesses.</t>
        </is>
      </c>
      <c r="G80" s="145" t="inlineStr">
        <is>
          <t>Financial Services</t>
        </is>
      </c>
      <c r="H80" s="146" t="inlineStr">
        <is>
          <t>Other Financial Services</t>
        </is>
      </c>
      <c r="I80" s="147" t="inlineStr">
        <is>
          <t>Other Financial Services</t>
        </is>
      </c>
      <c r="J80" s="148" t="inlineStr">
        <is>
          <t>Other Financial Services*; Specialized Finance; Financial Software</t>
        </is>
      </c>
      <c r="K80" s="149" t="inlineStr">
        <is>
          <t>FinTech</t>
        </is>
      </c>
      <c r="L80" s="150" t="inlineStr">
        <is>
          <t>Venture Capital-Backed</t>
        </is>
      </c>
      <c r="M80" s="151" t="n">
        <v>27.41</v>
      </c>
      <c r="N80" s="152" t="inlineStr">
        <is>
          <t>Generating Revenue</t>
        </is>
      </c>
      <c r="O80" s="153" t="inlineStr">
        <is>
          <t>Privately Held (backing)</t>
        </is>
      </c>
      <c r="P80" s="154" t="inlineStr">
        <is>
          <t>Venture Capital</t>
        </is>
      </c>
      <c r="Q80" s="155" t="inlineStr">
        <is>
          <t>www.crowdcube.com</t>
        </is>
      </c>
      <c r="R80" s="156" t="n">
        <v>82.0</v>
      </c>
      <c r="S80" s="157" t="inlineStr">
        <is>
          <t/>
        </is>
      </c>
      <c r="T80" s="158" t="inlineStr">
        <is>
          <t/>
        </is>
      </c>
      <c r="U80" s="159" t="n">
        <v>2010.0</v>
      </c>
      <c r="V80" s="160" t="inlineStr">
        <is>
          <t/>
        </is>
      </c>
      <c r="W80" s="161" t="inlineStr">
        <is>
          <t/>
        </is>
      </c>
      <c r="X80" s="162" t="inlineStr">
        <is>
          <t/>
        </is>
      </c>
      <c r="Y80" s="163" t="n">
        <v>4.32879</v>
      </c>
      <c r="Z80" s="164" t="inlineStr">
        <is>
          <t/>
        </is>
      </c>
      <c r="AA80" s="165" t="inlineStr">
        <is>
          <t/>
        </is>
      </c>
      <c r="AB80" s="166" t="inlineStr">
        <is>
          <t/>
        </is>
      </c>
      <c r="AC80" s="167" t="inlineStr">
        <is>
          <t/>
        </is>
      </c>
      <c r="AD80" s="168" t="inlineStr">
        <is>
          <t>FY 2017</t>
        </is>
      </c>
      <c r="AE80" s="169" t="inlineStr">
        <is>
          <t>56968-03P</t>
        </is>
      </c>
      <c r="AF80" s="170" t="inlineStr">
        <is>
          <t>Darren Westlake</t>
        </is>
      </c>
      <c r="AG80" s="171" t="inlineStr">
        <is>
          <t>Co-Founder &amp; Chief Executive Officer</t>
        </is>
      </c>
      <c r="AH80" s="172" t="inlineStr">
        <is>
          <t>darren@crowdcube.com</t>
        </is>
      </c>
      <c r="AI80" s="173" t="inlineStr">
        <is>
          <t>+44 (0)13 9224 1319</t>
        </is>
      </c>
      <c r="AJ80" s="174" t="inlineStr">
        <is>
          <t>Exeter, United Kingdom</t>
        </is>
      </c>
      <c r="AK80" s="175" t="inlineStr">
        <is>
          <t>The Innovation Centre, University of Exeter</t>
        </is>
      </c>
      <c r="AL80" s="176" t="inlineStr">
        <is>
          <t>Rennes Drive</t>
        </is>
      </c>
      <c r="AM80" s="177" t="inlineStr">
        <is>
          <t>Exeter</t>
        </is>
      </c>
      <c r="AN80" s="178" t="inlineStr">
        <is>
          <t>England</t>
        </is>
      </c>
      <c r="AO80" s="179" t="inlineStr">
        <is>
          <t>EX4 4RN</t>
        </is>
      </c>
      <c r="AP80" s="180" t="inlineStr">
        <is>
          <t>United Kingdom</t>
        </is>
      </c>
      <c r="AQ80" s="181" t="inlineStr">
        <is>
          <t>+44 (0)13 9224 1319</t>
        </is>
      </c>
      <c r="AR80" s="182" t="inlineStr">
        <is>
          <t/>
        </is>
      </c>
      <c r="AS80" s="183" t="inlineStr">
        <is>
          <t/>
        </is>
      </c>
      <c r="AT80" s="184" t="inlineStr">
        <is>
          <t>Europe</t>
        </is>
      </c>
      <c r="AU80" s="185" t="inlineStr">
        <is>
          <t>Western Europe</t>
        </is>
      </c>
      <c r="AV80" s="186" t="inlineStr">
        <is>
          <t>The company received GBP 1 million of financing from GuanQun Investment on July 14, 2017. Previously, the company raised GBP 8.2 million of venture funding from Balderton Capital and other undisclosed investors via their own crowdfunding platform on August 18, 2016, putting the pre-money valuation at GBP 56.11 million.</t>
        </is>
      </c>
      <c r="AW80" s="187" t="inlineStr">
        <is>
          <t>Alessandro Mereu, Balderton Capital, Bluebird Partners, Draper Esprit, GuanQun Investment, Numis Securities, SETsquared Partnership, Timothy Draper, Wayne Morris</t>
        </is>
      </c>
      <c r="AX80" s="188" t="n">
        <v>9.0</v>
      </c>
      <c r="AY80" s="189" t="inlineStr">
        <is>
          <t/>
        </is>
      </c>
      <c r="AZ80" s="190" t="inlineStr">
        <is>
          <t/>
        </is>
      </c>
      <c r="BA80" s="191" t="inlineStr">
        <is>
          <t/>
        </is>
      </c>
      <c r="BB80" s="192" t="inlineStr">
        <is>
          <t>Balderton Capital (www.balderton.com), Bluebird Partners (www.bluebirdpartners.co.uk), Draper Esprit (www.draperesprit.com), GuanQun Investment (www.gqfunding.com), Numis Securities (www.numiscorp.com), SETsquared Partnership (www.setsquared.co.uk)</t>
        </is>
      </c>
      <c r="BC80" s="193" t="inlineStr">
        <is>
          <t/>
        </is>
      </c>
      <c r="BD80" s="194" t="inlineStr">
        <is>
          <t/>
        </is>
      </c>
      <c r="BE80" s="195" t="inlineStr">
        <is>
          <t>Future Fifty (Consulting), ELITE Growth (Advisor: General), Nexia Smith &amp; Williamson (Auditor), Kandidate (Consulting)</t>
        </is>
      </c>
      <c r="BF80" s="196" t="inlineStr">
        <is>
          <t>Crowdcube (Lead Manager or Arranger), Ashfords (Legal Advisor), Bird &amp; Bird (Legal Advisor), Nexia Smith &amp; Williamson (Auditor)</t>
        </is>
      </c>
      <c r="BG80" s="197" t="n">
        <v>40895.0</v>
      </c>
      <c r="BH80" s="198" t="n">
        <v>0.38</v>
      </c>
      <c r="BI80" s="199" t="inlineStr">
        <is>
          <t>Actual</t>
        </is>
      </c>
      <c r="BJ80" s="200" t="inlineStr">
        <is>
          <t/>
        </is>
      </c>
      <c r="BK80" s="201" t="inlineStr">
        <is>
          <t/>
        </is>
      </c>
      <c r="BL80" s="202" t="inlineStr">
        <is>
          <t>Angel (individual)</t>
        </is>
      </c>
      <c r="BM80" s="203" t="inlineStr">
        <is>
          <t>Angel</t>
        </is>
      </c>
      <c r="BN80" s="204" t="inlineStr">
        <is>
          <t/>
        </is>
      </c>
      <c r="BO80" s="205" t="inlineStr">
        <is>
          <t>Individual</t>
        </is>
      </c>
      <c r="BP80" s="206" t="inlineStr">
        <is>
          <t/>
        </is>
      </c>
      <c r="BQ80" s="207" t="inlineStr">
        <is>
          <t/>
        </is>
      </c>
      <c r="BR80" s="208" t="inlineStr">
        <is>
          <t/>
        </is>
      </c>
      <c r="BS80" s="209" t="inlineStr">
        <is>
          <t>Completed</t>
        </is>
      </c>
      <c r="BT80" s="210" t="n">
        <v>42930.0</v>
      </c>
      <c r="BU80" s="211" t="n">
        <v>1.13</v>
      </c>
      <c r="BV80" s="212" t="inlineStr">
        <is>
          <t>Actual</t>
        </is>
      </c>
      <c r="BW80" s="213" t="inlineStr">
        <is>
          <t/>
        </is>
      </c>
      <c r="BX80" s="214" t="inlineStr">
        <is>
          <t/>
        </is>
      </c>
      <c r="BY80" s="215" t="inlineStr">
        <is>
          <t>Corporate</t>
        </is>
      </c>
      <c r="BZ80" s="216" t="inlineStr">
        <is>
          <t>Corporate</t>
        </is>
      </c>
      <c r="CA80" s="217" t="inlineStr">
        <is>
          <t/>
        </is>
      </c>
      <c r="CB80" s="218" t="inlineStr">
        <is>
          <t>Corporate</t>
        </is>
      </c>
      <c r="CC80" s="219" t="inlineStr">
        <is>
          <t/>
        </is>
      </c>
      <c r="CD80" s="220" t="inlineStr">
        <is>
          <t/>
        </is>
      </c>
      <c r="CE80" s="221" t="inlineStr">
        <is>
          <t/>
        </is>
      </c>
      <c r="CF80" s="222" t="inlineStr">
        <is>
          <t>Completed</t>
        </is>
      </c>
      <c r="CG80" s="223" t="inlineStr">
        <is>
          <t>-4,60%</t>
        </is>
      </c>
      <c r="CH80" s="224" t="inlineStr">
        <is>
          <t>4</t>
        </is>
      </c>
      <c r="CI80" s="225" t="inlineStr">
        <is>
          <t>-0,07%</t>
        </is>
      </c>
      <c r="CJ80" s="226" t="inlineStr">
        <is>
          <t>-1,45%</t>
        </is>
      </c>
      <c r="CK80" s="227" t="inlineStr">
        <is>
          <t>-9,62%</t>
        </is>
      </c>
      <c r="CL80" s="228" t="inlineStr">
        <is>
          <t>4</t>
        </is>
      </c>
      <c r="CM80" s="229" t="inlineStr">
        <is>
          <t>0,41%</t>
        </is>
      </c>
      <c r="CN80" s="230" t="inlineStr">
        <is>
          <t>86</t>
        </is>
      </c>
      <c r="CO80" s="231" t="inlineStr">
        <is>
          <t>-18,80%</t>
        </is>
      </c>
      <c r="CP80" s="232" t="inlineStr">
        <is>
          <t>6</t>
        </is>
      </c>
      <c r="CQ80" s="233" t="inlineStr">
        <is>
          <t>-0,44%</t>
        </is>
      </c>
      <c r="CR80" s="234" t="inlineStr">
        <is>
          <t>16</t>
        </is>
      </c>
      <c r="CS80" s="235" t="inlineStr">
        <is>
          <t>0,66%</t>
        </is>
      </c>
      <c r="CT80" s="236" t="inlineStr">
        <is>
          <t>90</t>
        </is>
      </c>
      <c r="CU80" s="237" t="inlineStr">
        <is>
          <t>0,17%</t>
        </is>
      </c>
      <c r="CV80" s="238" t="inlineStr">
        <is>
          <t>74</t>
        </is>
      </c>
      <c r="CW80" s="239" t="inlineStr">
        <is>
          <t>68,43x</t>
        </is>
      </c>
      <c r="CX80" s="240" t="inlineStr">
        <is>
          <t>97</t>
        </is>
      </c>
      <c r="CY80" s="241" t="inlineStr">
        <is>
          <t>-0,45x</t>
        </is>
      </c>
      <c r="CZ80" s="242" t="inlineStr">
        <is>
          <t>-0,65%</t>
        </is>
      </c>
      <c r="DA80" s="243" t="inlineStr">
        <is>
          <t>72,00x</t>
        </is>
      </c>
      <c r="DB80" s="244" t="inlineStr">
        <is>
          <t>98</t>
        </is>
      </c>
      <c r="DC80" s="245" t="inlineStr">
        <is>
          <t>64,85x</t>
        </is>
      </c>
      <c r="DD80" s="246" t="inlineStr">
        <is>
          <t>95</t>
        </is>
      </c>
      <c r="DE80" s="247" t="inlineStr">
        <is>
          <t>13,34x</t>
        </is>
      </c>
      <c r="DF80" s="248" t="inlineStr">
        <is>
          <t>90</t>
        </is>
      </c>
      <c r="DG80" s="249" t="inlineStr">
        <is>
          <t>130,67x</t>
        </is>
      </c>
      <c r="DH80" s="250" t="inlineStr">
        <is>
          <t>99</t>
        </is>
      </c>
      <c r="DI80" s="251" t="inlineStr">
        <is>
          <t>17,19x</t>
        </is>
      </c>
      <c r="DJ80" s="252" t="inlineStr">
        <is>
          <t>86</t>
        </is>
      </c>
      <c r="DK80" s="253" t="inlineStr">
        <is>
          <t>112,51x</t>
        </is>
      </c>
      <c r="DL80" s="254" t="inlineStr">
        <is>
          <t>98</t>
        </is>
      </c>
      <c r="DM80" s="255" t="inlineStr">
        <is>
          <t>4.885</t>
        </is>
      </c>
      <c r="DN80" s="256" t="inlineStr">
        <is>
          <t>311</t>
        </is>
      </c>
      <c r="DO80" s="257" t="inlineStr">
        <is>
          <t>6,80%</t>
        </is>
      </c>
      <c r="DP80" s="258" t="inlineStr">
        <is>
          <t>13.612</t>
        </is>
      </c>
      <c r="DQ80" s="259" t="inlineStr">
        <is>
          <t>15</t>
        </is>
      </c>
      <c r="DR80" s="260" t="inlineStr">
        <is>
          <t>0,11%</t>
        </is>
      </c>
      <c r="DS80" s="261" t="inlineStr">
        <is>
          <t>4.713</t>
        </is>
      </c>
      <c r="DT80" s="262" t="inlineStr">
        <is>
          <t>-21</t>
        </is>
      </c>
      <c r="DU80" s="263" t="inlineStr">
        <is>
          <t>-0,44%</t>
        </is>
      </c>
      <c r="DV80" s="264" t="inlineStr">
        <is>
          <t>42.060</t>
        </is>
      </c>
      <c r="DW80" s="265" t="inlineStr">
        <is>
          <t>70</t>
        </is>
      </c>
      <c r="DX80" s="266" t="inlineStr">
        <is>
          <t>0,17%</t>
        </is>
      </c>
      <c r="DY80" s="267" t="inlineStr">
        <is>
          <t>PitchBook Research</t>
        </is>
      </c>
      <c r="DZ80" s="786">
        <f>HYPERLINK("https://my.pitchbook.com?c=59246-11", "View company online")</f>
      </c>
    </row>
    <row r="81">
      <c r="A81" s="9" t="inlineStr">
        <is>
          <t>60282-46</t>
        </is>
      </c>
      <c r="B81" s="10" t="inlineStr">
        <is>
          <t>BBOXX</t>
        </is>
      </c>
      <c r="C81" s="11" t="inlineStr">
        <is>
          <t/>
        </is>
      </c>
      <c r="D81" s="12" t="inlineStr">
        <is>
          <t/>
        </is>
      </c>
      <c r="E81" s="13" t="inlineStr">
        <is>
          <t>60282-46</t>
        </is>
      </c>
      <c r="F81" s="14" t="inlineStr">
        <is>
          <t>Manufacturer and distributor of plug-and-play solar kits. The company designs, manufactures and distributes solar kits for off-grid power production. It also works with local partners to provide power technology to developing areas of the world, including Sierra Leone, Kenya, Somalia and Pakistan.</t>
        </is>
      </c>
      <c r="G81" s="15" t="inlineStr">
        <is>
          <t>Energy</t>
        </is>
      </c>
      <c r="H81" s="16" t="inlineStr">
        <is>
          <t>Energy Equipment</t>
        </is>
      </c>
      <c r="I81" s="17" t="inlineStr">
        <is>
          <t>Alternative Energy Equipment</t>
        </is>
      </c>
      <c r="J81" s="18" t="inlineStr">
        <is>
          <t>Alternative Energy Equipment*; Energy Infrastructure</t>
        </is>
      </c>
      <c r="K81" s="19" t="inlineStr">
        <is>
          <t>CleanTech, Manufacturing</t>
        </is>
      </c>
      <c r="L81" s="20" t="inlineStr">
        <is>
          <t>Venture Capital-Backed</t>
        </is>
      </c>
      <c r="M81" s="21" t="n">
        <v>27.28</v>
      </c>
      <c r="N81" s="22" t="inlineStr">
        <is>
          <t>Profitable</t>
        </is>
      </c>
      <c r="O81" s="23" t="inlineStr">
        <is>
          <t>Privately Held (backing)</t>
        </is>
      </c>
      <c r="P81" s="24" t="inlineStr">
        <is>
          <t>Venture Capital</t>
        </is>
      </c>
      <c r="Q81" s="25" t="inlineStr">
        <is>
          <t>www.bboxx.co.uk</t>
        </is>
      </c>
      <c r="R81" s="26" t="n">
        <v>140.0</v>
      </c>
      <c r="S81" s="27" t="inlineStr">
        <is>
          <t/>
        </is>
      </c>
      <c r="T81" s="28" t="inlineStr">
        <is>
          <t/>
        </is>
      </c>
      <c r="U81" s="29" t="n">
        <v>2010.0</v>
      </c>
      <c r="V81" s="30" t="inlineStr">
        <is>
          <t/>
        </is>
      </c>
      <c r="W81" s="31" t="inlineStr">
        <is>
          <t/>
        </is>
      </c>
      <c r="X81" s="32" t="inlineStr">
        <is>
          <t/>
        </is>
      </c>
      <c r="Y81" s="33" t="inlineStr">
        <is>
          <t/>
        </is>
      </c>
      <c r="Z81" s="34" t="inlineStr">
        <is>
          <t/>
        </is>
      </c>
      <c r="AA81" s="35" t="inlineStr">
        <is>
          <t/>
        </is>
      </c>
      <c r="AB81" s="36" t="inlineStr">
        <is>
          <t/>
        </is>
      </c>
      <c r="AC81" s="37" t="inlineStr">
        <is>
          <t/>
        </is>
      </c>
      <c r="AD81" s="38" t="inlineStr">
        <is>
          <t>FY 2013</t>
        </is>
      </c>
      <c r="AE81" s="39" t="inlineStr">
        <is>
          <t>56415-25P</t>
        </is>
      </c>
      <c r="AF81" s="40" t="inlineStr">
        <is>
          <t>Mohammad Hamayun</t>
        </is>
      </c>
      <c r="AG81" s="41" t="inlineStr">
        <is>
          <t>Board Member, Chief Executive Officer &amp; Co-Founder</t>
        </is>
      </c>
      <c r="AH81" s="42" t="inlineStr">
        <is>
          <t>m.hamayun@bboxx.co.uk</t>
        </is>
      </c>
      <c r="AI81" s="43" t="inlineStr">
        <is>
          <t>+44 (0)20 8987 3195</t>
        </is>
      </c>
      <c r="AJ81" s="44" t="inlineStr">
        <is>
          <t>London, United Kingdom</t>
        </is>
      </c>
      <c r="AK81" s="45" t="inlineStr">
        <is>
          <t>Chiswick Studios</t>
        </is>
      </c>
      <c r="AL81" s="46" t="inlineStr">
        <is>
          <t>9B Power Road</t>
        </is>
      </c>
      <c r="AM81" s="47" t="inlineStr">
        <is>
          <t>London</t>
        </is>
      </c>
      <c r="AN81" s="48" t="inlineStr">
        <is>
          <t>England</t>
        </is>
      </c>
      <c r="AO81" s="49" t="inlineStr">
        <is>
          <t>W4 5PY</t>
        </is>
      </c>
      <c r="AP81" s="50" t="inlineStr">
        <is>
          <t>United Kingdom</t>
        </is>
      </c>
      <c r="AQ81" s="51" t="inlineStr">
        <is>
          <t>+44 (0)20 8987 3195</t>
        </is>
      </c>
      <c r="AR81" s="52" t="inlineStr">
        <is>
          <t/>
        </is>
      </c>
      <c r="AS81" s="53" t="inlineStr">
        <is>
          <t>info@bboxx.co.uk</t>
        </is>
      </c>
      <c r="AT81" s="54" t="inlineStr">
        <is>
          <t>Europe</t>
        </is>
      </c>
      <c r="AU81" s="55" t="inlineStr">
        <is>
          <t>Western Europe</t>
        </is>
      </c>
      <c r="AV81" s="56" t="inlineStr">
        <is>
          <t>The company raised an additional GBP 1.57 of Series C funding from undisclosed investors on July 3, 2017, putting the pre-money valuation at GBP 33.77 million. The company raised GBP 14.73 million of Series C venture funding led by MacKinnon, Bennett &amp; Company, ENGIE Rassembleurs d'Energies and KawiSafi Ventures on August 30, 2016, putting the pre-money valuation at GBP 14.17 million. Khosla Impact Fund, Bamboo Capital Partners and DOEN Foundation also participated. The company intends to use the funding to aid its expansion into West Africa, namely Nigeria, Cameroon and the Ivory Coast and to accelerate the provision of licensed products and services in other markets.</t>
        </is>
      </c>
      <c r="AW81" s="57" t="inlineStr">
        <is>
          <t>Africa Enterprise Challenge Fund, Bamboo Capital Partners, Ceniarth, DOEN Foundation, ENGIE New Ventures, ENGIE Rassembleurs d'Energies, Imperial Create Lab, KawiSafi Ventures, Khosla Impact, MacKinnon, Bennett &amp; Company, Synergy Growth</t>
        </is>
      </c>
      <c r="AX81" s="58" t="n">
        <v>11.0</v>
      </c>
      <c r="AY81" s="59" t="inlineStr">
        <is>
          <t/>
        </is>
      </c>
      <c r="AZ81" s="60" t="inlineStr">
        <is>
          <t/>
        </is>
      </c>
      <c r="BA81" s="61" t="inlineStr">
        <is>
          <t/>
        </is>
      </c>
      <c r="BB81" s="62" t="inlineStr">
        <is>
          <t>Africa Enterprise Challenge Fund (www.aecfafrica.org), Bamboo Capital Partners (www.bamboocp.com), DOEN Foundation (www.doen.nl), ENGIE New Ventures (www.fab.engie.com), Imperial Create Lab (www.imperialcreatelab.com), Khosla Impact (www.khoslaimpact.com), MacKinnon, Bennett &amp; Company (www.mkbandco.com)</t>
        </is>
      </c>
      <c r="BC81" s="63" t="inlineStr">
        <is>
          <t/>
        </is>
      </c>
      <c r="BD81" s="64" t="inlineStr">
        <is>
          <t/>
        </is>
      </c>
      <c r="BE81" s="65" t="inlineStr">
        <is>
          <t>Orrick, Herrington &amp; Sutcliffe (Legal Advisor)</t>
        </is>
      </c>
      <c r="BF81" s="66" t="inlineStr">
        <is>
          <t>Oikocredit Ecumenical Development Cooperative Society (Debt Financing), DOEN Foundation (Debt Financing), ENGIE Rassembleurs d'Energies (Debt Financing), Orrick, Herrington &amp; Sutcliffe (Legal Advisor), Bamboo Capital Partners (Debt Financing), Ceniarth (Debt Financing), MacKinnon, Bennett &amp; Company (Debt Financing), Khosla Impact (Debt Financing)</t>
        </is>
      </c>
      <c r="BG81" s="67" t="inlineStr">
        <is>
          <t/>
        </is>
      </c>
      <c r="BH81" s="68" t="inlineStr">
        <is>
          <t/>
        </is>
      </c>
      <c r="BI81" s="69" t="inlineStr">
        <is>
          <t/>
        </is>
      </c>
      <c r="BJ81" s="70" t="inlineStr">
        <is>
          <t/>
        </is>
      </c>
      <c r="BK81" s="71" t="inlineStr">
        <is>
          <t/>
        </is>
      </c>
      <c r="BL81" s="72" t="inlineStr">
        <is>
          <t>Accelerator/Incubator</t>
        </is>
      </c>
      <c r="BM81" s="73" t="inlineStr">
        <is>
          <t/>
        </is>
      </c>
      <c r="BN81" s="74" t="inlineStr">
        <is>
          <t/>
        </is>
      </c>
      <c r="BO81" s="75" t="inlineStr">
        <is>
          <t>Other</t>
        </is>
      </c>
      <c r="BP81" s="76" t="inlineStr">
        <is>
          <t/>
        </is>
      </c>
      <c r="BQ81" s="77" t="inlineStr">
        <is>
          <t/>
        </is>
      </c>
      <c r="BR81" s="78" t="inlineStr">
        <is>
          <t/>
        </is>
      </c>
      <c r="BS81" s="79" t="inlineStr">
        <is>
          <t>Completed</t>
        </is>
      </c>
      <c r="BT81" s="80" t="n">
        <v>42919.0</v>
      </c>
      <c r="BU81" s="81" t="n">
        <v>1.78</v>
      </c>
      <c r="BV81" s="82" t="inlineStr">
        <is>
          <t>Actual</t>
        </is>
      </c>
      <c r="BW81" s="83" t="n">
        <v>39.91</v>
      </c>
      <c r="BX81" s="84" t="inlineStr">
        <is>
          <t>Actual</t>
        </is>
      </c>
      <c r="BY81" s="85" t="inlineStr">
        <is>
          <t>Later Stage VC</t>
        </is>
      </c>
      <c r="BZ81" s="86" t="inlineStr">
        <is>
          <t/>
        </is>
      </c>
      <c r="CA81" s="87" t="inlineStr">
        <is>
          <t/>
        </is>
      </c>
      <c r="CB81" s="88" t="inlineStr">
        <is>
          <t>Venture Capital</t>
        </is>
      </c>
      <c r="CC81" s="89" t="inlineStr">
        <is>
          <t/>
        </is>
      </c>
      <c r="CD81" s="90" t="inlineStr">
        <is>
          <t/>
        </is>
      </c>
      <c r="CE81" s="91" t="inlineStr">
        <is>
          <t/>
        </is>
      </c>
      <c r="CF81" s="92" t="inlineStr">
        <is>
          <t>Completed</t>
        </is>
      </c>
      <c r="CG81" s="93" t="inlineStr">
        <is>
          <t>0,19%</t>
        </is>
      </c>
      <c r="CH81" s="94" t="inlineStr">
        <is>
          <t>86</t>
        </is>
      </c>
      <c r="CI81" s="95" t="inlineStr">
        <is>
          <t>0,07%</t>
        </is>
      </c>
      <c r="CJ81" s="96" t="inlineStr">
        <is>
          <t>64,17%</t>
        </is>
      </c>
      <c r="CK81" s="97" t="inlineStr">
        <is>
          <t>-0,42%</t>
        </is>
      </c>
      <c r="CL81" s="98" t="inlineStr">
        <is>
          <t>24</t>
        </is>
      </c>
      <c r="CM81" s="99" t="inlineStr">
        <is>
          <t>0,80%</t>
        </is>
      </c>
      <c r="CN81" s="100" t="inlineStr">
        <is>
          <t>94</t>
        </is>
      </c>
      <c r="CO81" s="101" t="inlineStr">
        <is>
          <t>-0,94%</t>
        </is>
      </c>
      <c r="CP81" s="102" t="inlineStr">
        <is>
          <t>33</t>
        </is>
      </c>
      <c r="CQ81" s="103" t="inlineStr">
        <is>
          <t>0,09%</t>
        </is>
      </c>
      <c r="CR81" s="104" t="inlineStr">
        <is>
          <t>90</t>
        </is>
      </c>
      <c r="CS81" s="105" t="inlineStr">
        <is>
          <t>0,99%</t>
        </is>
      </c>
      <c r="CT81" s="106" t="inlineStr">
        <is>
          <t>94</t>
        </is>
      </c>
      <c r="CU81" s="107" t="inlineStr">
        <is>
          <t>0,62%</t>
        </is>
      </c>
      <c r="CV81" s="108" t="inlineStr">
        <is>
          <t>93</t>
        </is>
      </c>
      <c r="CW81" s="109" t="inlineStr">
        <is>
          <t>15,31x</t>
        </is>
      </c>
      <c r="CX81" s="110" t="inlineStr">
        <is>
          <t>91</t>
        </is>
      </c>
      <c r="CY81" s="111" t="inlineStr">
        <is>
          <t>0,03x</t>
        </is>
      </c>
      <c r="CZ81" s="112" t="inlineStr">
        <is>
          <t>0,22%</t>
        </is>
      </c>
      <c r="DA81" s="113" t="inlineStr">
        <is>
          <t>5,29x</t>
        </is>
      </c>
      <c r="DB81" s="114" t="inlineStr">
        <is>
          <t>82</t>
        </is>
      </c>
      <c r="DC81" s="115" t="inlineStr">
        <is>
          <t>25,32x</t>
        </is>
      </c>
      <c r="DD81" s="116" t="inlineStr">
        <is>
          <t>91</t>
        </is>
      </c>
      <c r="DE81" s="117" t="inlineStr">
        <is>
          <t>2,59x</t>
        </is>
      </c>
      <c r="DF81" s="118" t="inlineStr">
        <is>
          <t>71</t>
        </is>
      </c>
      <c r="DG81" s="119" t="inlineStr">
        <is>
          <t>8,00x</t>
        </is>
      </c>
      <c r="DH81" s="120" t="inlineStr">
        <is>
          <t>84</t>
        </is>
      </c>
      <c r="DI81" s="121" t="inlineStr">
        <is>
          <t>42,25x</t>
        </is>
      </c>
      <c r="DJ81" s="122" t="inlineStr">
        <is>
          <t>92</t>
        </is>
      </c>
      <c r="DK81" s="123" t="inlineStr">
        <is>
          <t>8,39x</t>
        </is>
      </c>
      <c r="DL81" s="124" t="inlineStr">
        <is>
          <t>85</t>
        </is>
      </c>
      <c r="DM81" s="125" t="inlineStr">
        <is>
          <t>944</t>
        </is>
      </c>
      <c r="DN81" s="126" t="inlineStr">
        <is>
          <t>79</t>
        </is>
      </c>
      <c r="DO81" s="127" t="inlineStr">
        <is>
          <t>9,13%</t>
        </is>
      </c>
      <c r="DP81" s="128" t="inlineStr">
        <is>
          <t>33.314</t>
        </is>
      </c>
      <c r="DQ81" s="129" t="inlineStr">
        <is>
          <t>397</t>
        </is>
      </c>
      <c r="DR81" s="130" t="inlineStr">
        <is>
          <t>1,21%</t>
        </is>
      </c>
      <c r="DS81" s="131" t="inlineStr">
        <is>
          <t>288</t>
        </is>
      </c>
      <c r="DT81" s="132" t="inlineStr">
        <is>
          <t>1</t>
        </is>
      </c>
      <c r="DU81" s="133" t="inlineStr">
        <is>
          <t>0,35%</t>
        </is>
      </c>
      <c r="DV81" s="134" t="inlineStr">
        <is>
          <t>3.134</t>
        </is>
      </c>
      <c r="DW81" s="135" t="inlineStr">
        <is>
          <t>20</t>
        </is>
      </c>
      <c r="DX81" s="136" t="inlineStr">
        <is>
          <t>0,64%</t>
        </is>
      </c>
      <c r="DY81" s="137" t="inlineStr">
        <is>
          <t>PitchBook Research</t>
        </is>
      </c>
      <c r="DZ81" s="785">
        <f>HYPERLINK("https://my.pitchbook.com?c=60282-46", "View company online")</f>
      </c>
    </row>
    <row r="82">
      <c r="A82" s="139" t="inlineStr">
        <is>
          <t>98959-51</t>
        </is>
      </c>
      <c r="B82" s="140" t="inlineStr">
        <is>
          <t>VuLog</t>
        </is>
      </c>
      <c r="C82" s="141" t="inlineStr">
        <is>
          <t/>
        </is>
      </c>
      <c r="D82" s="142" t="inlineStr">
        <is>
          <t/>
        </is>
      </c>
      <c r="E82" s="143" t="inlineStr">
        <is>
          <t>98959-51</t>
        </is>
      </c>
      <c r="F82" s="144" t="inlineStr">
        <is>
          <t>Provider of a mobile carsharing platform intended to reshape the future of shared mobility. The company's end-to-end systems allow car rental companies, public transportation operators, car manufacturers, local authorities and fleet managers to implement all types of car sharing services covering vehicles used for round trip, one way and free floating car sharing, enabling companies to optimize their automotives as well as enabling individuals to easily travel around city.</t>
        </is>
      </c>
      <c r="G82" s="145" t="inlineStr">
        <is>
          <t>Information Technology</t>
        </is>
      </c>
      <c r="H82" s="146" t="inlineStr">
        <is>
          <t>Software</t>
        </is>
      </c>
      <c r="I82" s="147" t="inlineStr">
        <is>
          <t>Social/Platform Software</t>
        </is>
      </c>
      <c r="J82" s="148" t="inlineStr">
        <is>
          <t>Social/Platform Software*; Automotive</t>
        </is>
      </c>
      <c r="K82" s="149" t="inlineStr">
        <is>
          <t>LOHAS &amp; Wellness, Mobile, SaaS</t>
        </is>
      </c>
      <c r="L82" s="150" t="inlineStr">
        <is>
          <t>Venture Capital-Backed</t>
        </is>
      </c>
      <c r="M82" s="151" t="n">
        <v>26.53</v>
      </c>
      <c r="N82" s="152" t="inlineStr">
        <is>
          <t>Generating Revenue</t>
        </is>
      </c>
      <c r="O82" s="153" t="inlineStr">
        <is>
          <t>Privately Held (backing)</t>
        </is>
      </c>
      <c r="P82" s="154" t="inlineStr">
        <is>
          <t>Venture Capital</t>
        </is>
      </c>
      <c r="Q82" s="155" t="inlineStr">
        <is>
          <t>www.vulog.com</t>
        </is>
      </c>
      <c r="R82" s="156" t="n">
        <v>37.0</v>
      </c>
      <c r="S82" s="157" t="inlineStr">
        <is>
          <t/>
        </is>
      </c>
      <c r="T82" s="158" t="inlineStr">
        <is>
          <t/>
        </is>
      </c>
      <c r="U82" s="159" t="n">
        <v>2006.0</v>
      </c>
      <c r="V82" s="160" t="inlineStr">
        <is>
          <t/>
        </is>
      </c>
      <c r="W82" s="161" t="inlineStr">
        <is>
          <t/>
        </is>
      </c>
      <c r="X82" s="162" t="inlineStr">
        <is>
          <t/>
        </is>
      </c>
      <c r="Y82" s="163" t="n">
        <v>1.79388</v>
      </c>
      <c r="Z82" s="164" t="inlineStr">
        <is>
          <t/>
        </is>
      </c>
      <c r="AA82" s="165" t="n">
        <v>-0.37339</v>
      </c>
      <c r="AB82" s="166" t="inlineStr">
        <is>
          <t/>
        </is>
      </c>
      <c r="AC82" s="167" t="inlineStr">
        <is>
          <t/>
        </is>
      </c>
      <c r="AD82" s="168" t="inlineStr">
        <is>
          <t>FY 2014</t>
        </is>
      </c>
      <c r="AE82" s="169" t="inlineStr">
        <is>
          <t>114581-26P</t>
        </is>
      </c>
      <c r="AF82" s="170" t="inlineStr">
        <is>
          <t>Georges Gallais</t>
        </is>
      </c>
      <c r="AG82" s="171" t="inlineStr">
        <is>
          <t>Co-Founder &amp; Director of Innovation</t>
        </is>
      </c>
      <c r="AH82" s="172" t="inlineStr">
        <is>
          <t>ggallais@vulog.fr</t>
        </is>
      </c>
      <c r="AI82" s="173" t="inlineStr">
        <is>
          <t>+33 (0)7 83 38 43 79</t>
        </is>
      </c>
      <c r="AJ82" s="174" t="inlineStr">
        <is>
          <t>Paris, France</t>
        </is>
      </c>
      <c r="AK82" s="175" t="inlineStr">
        <is>
          <t>63Bis, Rue De La Tombe Issoire</t>
        </is>
      </c>
      <c r="AL82" s="176" t="inlineStr">
        <is>
          <t/>
        </is>
      </c>
      <c r="AM82" s="177" t="inlineStr">
        <is>
          <t>Paris</t>
        </is>
      </c>
      <c r="AN82" s="178" t="inlineStr">
        <is>
          <t/>
        </is>
      </c>
      <c r="AO82" s="179" t="inlineStr">
        <is>
          <t>75014</t>
        </is>
      </c>
      <c r="AP82" s="180" t="inlineStr">
        <is>
          <t>France</t>
        </is>
      </c>
      <c r="AQ82" s="181" t="inlineStr">
        <is>
          <t>+33 (0)7 83 38 43 79</t>
        </is>
      </c>
      <c r="AR82" s="182" t="inlineStr">
        <is>
          <t>+33 (0)9 70 72 01 33</t>
        </is>
      </c>
      <c r="AS82" s="183" t="inlineStr">
        <is>
          <t>contacts@vulog.com</t>
        </is>
      </c>
      <c r="AT82" s="184" t="inlineStr">
        <is>
          <t>Europe</t>
        </is>
      </c>
      <c r="AU82" s="185" t="inlineStr">
        <is>
          <t>Western Europe</t>
        </is>
      </c>
      <c r="AV82" s="186" t="inlineStr">
        <is>
          <t>The company raised $20 million of Series B venture funding from Frog Capital, Inven Capital and Bpifrance on August 29, 2017. ETF Partners also participated. These funds will be used to strengthen the company's leadership in the mobility space, continue its expansion worldwide, both to grow its sales and marketing teams and further the development of its technology.</t>
        </is>
      </c>
      <c r="AW82" s="187" t="inlineStr">
        <is>
          <t>Allianz Startups Accelerator, BA06, Bpifrance, EIT Digital, Equitis Gestion, ETF Partners, Frog Capital, Inven Capital, More Management Council, Opus Group, PACA Investissement, Paca-Est Incubator, Societe Nationale des Chemins de fer Francais</t>
        </is>
      </c>
      <c r="AX82" s="188" t="n">
        <v>13.0</v>
      </c>
      <c r="AY82" s="189" t="inlineStr">
        <is>
          <t/>
        </is>
      </c>
      <c r="AZ82" s="190" t="inlineStr">
        <is>
          <t/>
        </is>
      </c>
      <c r="BA82" s="191" t="inlineStr">
        <is>
          <t/>
        </is>
      </c>
      <c r="BB82" s="192" t="inlineStr">
        <is>
          <t>BA06 (www.ba06.com), Bpifrance (www.bpifrance.fr), EIT Digital (www.eitdigital.eu), Equitis Gestion (www.equitis.fr), ETF Partners (www.etfpartners.capital), Frog Capital (www.frogcapital.com), Inven Capital (www.invencapital.cz), Opus Group (www.opus.se), PACA Investissement (www.pacainvestissement.com), Paca-Est Incubator (en.incubateurpacaest.org)</t>
        </is>
      </c>
      <c r="BC82" s="193" t="inlineStr">
        <is>
          <t/>
        </is>
      </c>
      <c r="BD82" s="194" t="inlineStr">
        <is>
          <t/>
        </is>
      </c>
      <c r="BE82" s="195" t="inlineStr">
        <is>
          <t>Ventury Avocats (Legal Advisor)</t>
        </is>
      </c>
      <c r="BF82" s="196" t="inlineStr">
        <is>
          <t>Ventury Avocats (Legal Advisor), Grant Thornton (Auditor)</t>
        </is>
      </c>
      <c r="BG82" s="197" t="n">
        <v>39071.0</v>
      </c>
      <c r="BH82" s="198" t="inlineStr">
        <is>
          <t/>
        </is>
      </c>
      <c r="BI82" s="199" t="inlineStr">
        <is>
          <t/>
        </is>
      </c>
      <c r="BJ82" s="200" t="inlineStr">
        <is>
          <t/>
        </is>
      </c>
      <c r="BK82" s="201" t="inlineStr">
        <is>
          <t/>
        </is>
      </c>
      <c r="BL82" s="202" t="inlineStr">
        <is>
          <t>Accelerator/Incubator</t>
        </is>
      </c>
      <c r="BM82" s="203" t="inlineStr">
        <is>
          <t/>
        </is>
      </c>
      <c r="BN82" s="204" t="inlineStr">
        <is>
          <t/>
        </is>
      </c>
      <c r="BO82" s="205" t="inlineStr">
        <is>
          <t>Other</t>
        </is>
      </c>
      <c r="BP82" s="206" t="inlineStr">
        <is>
          <t/>
        </is>
      </c>
      <c r="BQ82" s="207" t="inlineStr">
        <is>
          <t/>
        </is>
      </c>
      <c r="BR82" s="208" t="inlineStr">
        <is>
          <t/>
        </is>
      </c>
      <c r="BS82" s="209" t="inlineStr">
        <is>
          <t>Completed</t>
        </is>
      </c>
      <c r="BT82" s="210" t="n">
        <v>42976.0</v>
      </c>
      <c r="BU82" s="211" t="n">
        <v>16.93</v>
      </c>
      <c r="BV82" s="212" t="inlineStr">
        <is>
          <t>Actual</t>
        </is>
      </c>
      <c r="BW82" s="213" t="inlineStr">
        <is>
          <t/>
        </is>
      </c>
      <c r="BX82" s="214" t="inlineStr">
        <is>
          <t/>
        </is>
      </c>
      <c r="BY82" s="215" t="inlineStr">
        <is>
          <t>Later Stage VC</t>
        </is>
      </c>
      <c r="BZ82" s="216" t="inlineStr">
        <is>
          <t>Series B</t>
        </is>
      </c>
      <c r="CA82" s="217" t="inlineStr">
        <is>
          <t/>
        </is>
      </c>
      <c r="CB82" s="218" t="inlineStr">
        <is>
          <t>Venture Capital</t>
        </is>
      </c>
      <c r="CC82" s="219" t="inlineStr">
        <is>
          <t/>
        </is>
      </c>
      <c r="CD82" s="220" t="inlineStr">
        <is>
          <t/>
        </is>
      </c>
      <c r="CE82" s="221" t="inlineStr">
        <is>
          <t/>
        </is>
      </c>
      <c r="CF82" s="222" t="inlineStr">
        <is>
          <t>Completed</t>
        </is>
      </c>
      <c r="CG82" s="223" t="inlineStr">
        <is>
          <t>-3,24%</t>
        </is>
      </c>
      <c r="CH82" s="224" t="inlineStr">
        <is>
          <t>6</t>
        </is>
      </c>
      <c r="CI82" s="225" t="inlineStr">
        <is>
          <t>-0,18%</t>
        </is>
      </c>
      <c r="CJ82" s="226" t="inlineStr">
        <is>
          <t>-5,83%</t>
        </is>
      </c>
      <c r="CK82" s="227" t="inlineStr">
        <is>
          <t>-3,24%</t>
        </is>
      </c>
      <c r="CL82" s="228" t="inlineStr">
        <is>
          <t>11</t>
        </is>
      </c>
      <c r="CM82" s="229" t="inlineStr">
        <is>
          <t/>
        </is>
      </c>
      <c r="CN82" s="230" t="inlineStr">
        <is>
          <t/>
        </is>
      </c>
      <c r="CO82" s="231" t="inlineStr">
        <is>
          <t>-6,24%</t>
        </is>
      </c>
      <c r="CP82" s="232" t="inlineStr">
        <is>
          <t>19</t>
        </is>
      </c>
      <c r="CQ82" s="233" t="inlineStr">
        <is>
          <t>-0,23%</t>
        </is>
      </c>
      <c r="CR82" s="234" t="inlineStr">
        <is>
          <t>18</t>
        </is>
      </c>
      <c r="CS82" s="235" t="inlineStr">
        <is>
          <t/>
        </is>
      </c>
      <c r="CT82" s="236" t="inlineStr">
        <is>
          <t/>
        </is>
      </c>
      <c r="CU82" s="237" t="inlineStr">
        <is>
          <t/>
        </is>
      </c>
      <c r="CV82" s="238" t="inlineStr">
        <is>
          <t/>
        </is>
      </c>
      <c r="CW82" s="239" t="inlineStr">
        <is>
          <t>3,07x</t>
        </is>
      </c>
      <c r="CX82" s="240" t="inlineStr">
        <is>
          <t>72</t>
        </is>
      </c>
      <c r="CY82" s="241" t="inlineStr">
        <is>
          <t>-0,01x</t>
        </is>
      </c>
      <c r="CZ82" s="242" t="inlineStr">
        <is>
          <t>-0,45%</t>
        </is>
      </c>
      <c r="DA82" s="243" t="inlineStr">
        <is>
          <t>3,07x</t>
        </is>
      </c>
      <c r="DB82" s="244" t="inlineStr">
        <is>
          <t>74</t>
        </is>
      </c>
      <c r="DC82" s="245" t="inlineStr">
        <is>
          <t/>
        </is>
      </c>
      <c r="DD82" s="246" t="inlineStr">
        <is>
          <t/>
        </is>
      </c>
      <c r="DE82" s="247" t="inlineStr">
        <is>
          <t>0,27x</t>
        </is>
      </c>
      <c r="DF82" s="248" t="inlineStr">
        <is>
          <t>20</t>
        </is>
      </c>
      <c r="DG82" s="249" t="inlineStr">
        <is>
          <t>5,86x</t>
        </is>
      </c>
      <c r="DH82" s="250" t="inlineStr">
        <is>
          <t>81</t>
        </is>
      </c>
      <c r="DI82" s="251" t="inlineStr">
        <is>
          <t/>
        </is>
      </c>
      <c r="DJ82" s="252" t="inlineStr">
        <is>
          <t/>
        </is>
      </c>
      <c r="DK82" s="253" t="inlineStr">
        <is>
          <t/>
        </is>
      </c>
      <c r="DL82" s="254" t="inlineStr">
        <is>
          <t/>
        </is>
      </c>
      <c r="DM82" s="255" t="inlineStr">
        <is>
          <t>104</t>
        </is>
      </c>
      <c r="DN82" s="256" t="inlineStr">
        <is>
          <t>-20</t>
        </is>
      </c>
      <c r="DO82" s="257" t="inlineStr">
        <is>
          <t>-16,13%</t>
        </is>
      </c>
      <c r="DP82" s="258" t="inlineStr">
        <is>
          <t/>
        </is>
      </c>
      <c r="DQ82" s="259" t="inlineStr">
        <is>
          <t/>
        </is>
      </c>
      <c r="DR82" s="260" t="inlineStr">
        <is>
          <t/>
        </is>
      </c>
      <c r="DS82" s="261" t="inlineStr">
        <is>
          <t>211</t>
        </is>
      </c>
      <c r="DT82" s="262" t="inlineStr">
        <is>
          <t>-1</t>
        </is>
      </c>
      <c r="DU82" s="263" t="inlineStr">
        <is>
          <t>-0,47%</t>
        </is>
      </c>
      <c r="DV82" s="264" t="inlineStr">
        <is>
          <t>927</t>
        </is>
      </c>
      <c r="DW82" s="265" t="inlineStr">
        <is>
          <t>5</t>
        </is>
      </c>
      <c r="DX82" s="266" t="inlineStr">
        <is>
          <t>0,54%</t>
        </is>
      </c>
      <c r="DY82" s="267" t="inlineStr">
        <is>
          <t>PitchBook Research</t>
        </is>
      </c>
      <c r="DZ82" s="786">
        <f>HYPERLINK("https://my.pitchbook.com?c=98959-51", "View company online")</f>
      </c>
    </row>
    <row r="83">
      <c r="A83" s="9" t="inlineStr">
        <is>
          <t>182832-31</t>
        </is>
      </c>
      <c r="B83" s="10" t="inlineStr">
        <is>
          <t>PayBreak</t>
        </is>
      </c>
      <c r="C83" s="11" t="inlineStr">
        <is>
          <t/>
        </is>
      </c>
      <c r="D83" s="12" t="inlineStr">
        <is>
          <t>afforditNOW</t>
        </is>
      </c>
      <c r="E83" s="13" t="inlineStr">
        <is>
          <t>182832-31</t>
        </is>
      </c>
      <c r="F83" s="14" t="inlineStr">
        <is>
          <t>Operator of a lending platform designed to offer a broad range of finance products. The company's afforditNOW product offers a flexible and affordable finance option, enabling customers to choose their own payment terms.</t>
        </is>
      </c>
      <c r="G83" s="15" t="inlineStr">
        <is>
          <t>Financial Services</t>
        </is>
      </c>
      <c r="H83" s="16" t="inlineStr">
        <is>
          <t>Other Financial Services</t>
        </is>
      </c>
      <c r="I83" s="17" t="inlineStr">
        <is>
          <t>Other Financial Services</t>
        </is>
      </c>
      <c r="J83" s="18" t="inlineStr">
        <is>
          <t>Other Financial Services*</t>
        </is>
      </c>
      <c r="K83" s="19" t="inlineStr">
        <is>
          <t>FinTech</t>
        </is>
      </c>
      <c r="L83" s="20" t="inlineStr">
        <is>
          <t>Venture Capital-Backed</t>
        </is>
      </c>
      <c r="M83" s="21" t="n">
        <v>24.5</v>
      </c>
      <c r="N83" s="22" t="inlineStr">
        <is>
          <t>Generating Revenue</t>
        </is>
      </c>
      <c r="O83" s="23" t="inlineStr">
        <is>
          <t>Privately Held (backing)</t>
        </is>
      </c>
      <c r="P83" s="24" t="inlineStr">
        <is>
          <t>Venture Capital</t>
        </is>
      </c>
      <c r="Q83" s="25" t="inlineStr">
        <is>
          <t>www.afforditnow.com</t>
        </is>
      </c>
      <c r="R83" s="26" t="inlineStr">
        <is>
          <t/>
        </is>
      </c>
      <c r="S83" s="27" t="inlineStr">
        <is>
          <t/>
        </is>
      </c>
      <c r="T83" s="28" t="inlineStr">
        <is>
          <t/>
        </is>
      </c>
      <c r="U83" s="29" t="n">
        <v>2012.0</v>
      </c>
      <c r="V83" s="30" t="inlineStr">
        <is>
          <t/>
        </is>
      </c>
      <c r="W83" s="31" t="inlineStr">
        <is>
          <t/>
        </is>
      </c>
      <c r="X83" s="32" t="inlineStr">
        <is>
          <t/>
        </is>
      </c>
      <c r="Y83" s="33" t="inlineStr">
        <is>
          <t/>
        </is>
      </c>
      <c r="Z83" s="34" t="inlineStr">
        <is>
          <t/>
        </is>
      </c>
      <c r="AA83" s="35" t="inlineStr">
        <is>
          <t/>
        </is>
      </c>
      <c r="AB83" s="36" t="inlineStr">
        <is>
          <t/>
        </is>
      </c>
      <c r="AC83" s="37" t="inlineStr">
        <is>
          <t/>
        </is>
      </c>
      <c r="AD83" s="38" t="inlineStr">
        <is>
          <t/>
        </is>
      </c>
      <c r="AE83" s="39" t="inlineStr">
        <is>
          <t>52111-63P</t>
        </is>
      </c>
      <c r="AF83" s="40" t="inlineStr">
        <is>
          <t>Joost Schuijff</t>
        </is>
      </c>
      <c r="AG83" s="41" t="inlineStr">
        <is>
          <t>Chairman</t>
        </is>
      </c>
      <c r="AH83" s="42" t="inlineStr">
        <is>
          <t>joost.schuijff@afforditnow.com</t>
        </is>
      </c>
      <c r="AI83" s="43" t="inlineStr">
        <is>
          <t>+44 (0)33 3344 4224</t>
        </is>
      </c>
      <c r="AJ83" s="44" t="inlineStr">
        <is>
          <t>Altrincham, United Kingdom</t>
        </is>
      </c>
      <c r="AK83" s="45" t="inlineStr">
        <is>
          <t>Floor 1, The Bloc</t>
        </is>
      </c>
      <c r="AL83" s="46" t="inlineStr">
        <is>
          <t>Ashley Road</t>
        </is>
      </c>
      <c r="AM83" s="47" t="inlineStr">
        <is>
          <t>Altrincham</t>
        </is>
      </c>
      <c r="AN83" s="48" t="inlineStr">
        <is>
          <t>England</t>
        </is>
      </c>
      <c r="AO83" s="49" t="inlineStr">
        <is>
          <t>WA14 2DW</t>
        </is>
      </c>
      <c r="AP83" s="50" t="inlineStr">
        <is>
          <t>United Kingdom</t>
        </is>
      </c>
      <c r="AQ83" s="51" t="inlineStr">
        <is>
          <t>+44 (0)33 3344 4224</t>
        </is>
      </c>
      <c r="AR83" s="52" t="inlineStr">
        <is>
          <t/>
        </is>
      </c>
      <c r="AS83" s="53" t="inlineStr">
        <is>
          <t>hello@paybreak.com</t>
        </is>
      </c>
      <c r="AT83" s="54" t="inlineStr">
        <is>
          <t>Europe</t>
        </is>
      </c>
      <c r="AU83" s="55" t="inlineStr">
        <is>
          <t>Western Europe</t>
        </is>
      </c>
      <c r="AV83" s="56" t="inlineStr">
        <is>
          <t>The company raised GBP 24.5 million of venture funding from an undisclosed investor on June 23, 2017. The company will use the funds to accelerate the further growth and development of the company.</t>
        </is>
      </c>
      <c r="AW83" s="57" t="inlineStr">
        <is>
          <t/>
        </is>
      </c>
      <c r="AX83" s="58" t="inlineStr">
        <is>
          <t/>
        </is>
      </c>
      <c r="AY83" s="59" t="inlineStr">
        <is>
          <t/>
        </is>
      </c>
      <c r="AZ83" s="60" t="inlineStr">
        <is>
          <t/>
        </is>
      </c>
      <c r="BA83" s="61" t="inlineStr">
        <is>
          <t/>
        </is>
      </c>
      <c r="BB83" s="62" t="inlineStr">
        <is>
          <t/>
        </is>
      </c>
      <c r="BC83" s="63" t="inlineStr">
        <is>
          <t/>
        </is>
      </c>
      <c r="BD83" s="64" t="inlineStr">
        <is>
          <t/>
        </is>
      </c>
      <c r="BE83" s="65" t="inlineStr">
        <is>
          <t/>
        </is>
      </c>
      <c r="BF83" s="66" t="inlineStr">
        <is>
          <t/>
        </is>
      </c>
      <c r="BG83" s="67" t="n">
        <v>42909.0</v>
      </c>
      <c r="BH83" s="68" t="n">
        <v>24.5</v>
      </c>
      <c r="BI83" s="69" t="inlineStr">
        <is>
          <t>Actual</t>
        </is>
      </c>
      <c r="BJ83" s="70" t="inlineStr">
        <is>
          <t/>
        </is>
      </c>
      <c r="BK83" s="71" t="inlineStr">
        <is>
          <t/>
        </is>
      </c>
      <c r="BL83" s="72" t="inlineStr">
        <is>
          <t>Later Stage VC</t>
        </is>
      </c>
      <c r="BM83" s="73" t="inlineStr">
        <is>
          <t/>
        </is>
      </c>
      <c r="BN83" s="74" t="inlineStr">
        <is>
          <t/>
        </is>
      </c>
      <c r="BO83" s="75" t="inlineStr">
        <is>
          <t>Venture Capital</t>
        </is>
      </c>
      <c r="BP83" s="76" t="inlineStr">
        <is>
          <t/>
        </is>
      </c>
      <c r="BQ83" s="77" t="inlineStr">
        <is>
          <t/>
        </is>
      </c>
      <c r="BR83" s="78" t="inlineStr">
        <is>
          <t/>
        </is>
      </c>
      <c r="BS83" s="79" t="inlineStr">
        <is>
          <t>Completed</t>
        </is>
      </c>
      <c r="BT83" s="80" t="n">
        <v>42909.0</v>
      </c>
      <c r="BU83" s="81" t="n">
        <v>24.5</v>
      </c>
      <c r="BV83" s="82" t="inlineStr">
        <is>
          <t>Actual</t>
        </is>
      </c>
      <c r="BW83" s="83" t="inlineStr">
        <is>
          <t/>
        </is>
      </c>
      <c r="BX83" s="84" t="inlineStr">
        <is>
          <t/>
        </is>
      </c>
      <c r="BY83" s="85" t="inlineStr">
        <is>
          <t>Later Stage VC</t>
        </is>
      </c>
      <c r="BZ83" s="86" t="inlineStr">
        <is>
          <t/>
        </is>
      </c>
      <c r="CA83" s="87" t="inlineStr">
        <is>
          <t/>
        </is>
      </c>
      <c r="CB83" s="88" t="inlineStr">
        <is>
          <t>Venture Capital</t>
        </is>
      </c>
      <c r="CC83" s="89" t="inlineStr">
        <is>
          <t/>
        </is>
      </c>
      <c r="CD83" s="90" t="inlineStr">
        <is>
          <t/>
        </is>
      </c>
      <c r="CE83" s="91" t="inlineStr">
        <is>
          <t/>
        </is>
      </c>
      <c r="CF83" s="92" t="inlineStr">
        <is>
          <t>Completed</t>
        </is>
      </c>
      <c r="CG83" s="93" t="inlineStr">
        <is>
          <t>-2,23%</t>
        </is>
      </c>
      <c r="CH83" s="94" t="inlineStr">
        <is>
          <t>9</t>
        </is>
      </c>
      <c r="CI83" s="95" t="inlineStr">
        <is>
          <t>0,00%</t>
        </is>
      </c>
      <c r="CJ83" s="96" t="inlineStr">
        <is>
          <t>0,00%</t>
        </is>
      </c>
      <c r="CK83" s="97" t="inlineStr">
        <is>
          <t>-4,46%</t>
        </is>
      </c>
      <c r="CL83" s="98" t="inlineStr">
        <is>
          <t>9</t>
        </is>
      </c>
      <c r="CM83" s="99" t="inlineStr">
        <is>
          <t>0,00%</t>
        </is>
      </c>
      <c r="CN83" s="100" t="inlineStr">
        <is>
          <t>20</t>
        </is>
      </c>
      <c r="CO83" s="101" t="inlineStr">
        <is>
          <t>-8,91%</t>
        </is>
      </c>
      <c r="CP83" s="102" t="inlineStr">
        <is>
          <t>14</t>
        </is>
      </c>
      <c r="CQ83" s="103" t="inlineStr">
        <is>
          <t>0,00%</t>
        </is>
      </c>
      <c r="CR83" s="104" t="inlineStr">
        <is>
          <t>20</t>
        </is>
      </c>
      <c r="CS83" s="105" t="inlineStr">
        <is>
          <t/>
        </is>
      </c>
      <c r="CT83" s="106" t="inlineStr">
        <is>
          <t/>
        </is>
      </c>
      <c r="CU83" s="107" t="inlineStr">
        <is>
          <t>0,00%</t>
        </is>
      </c>
      <c r="CV83" s="108" t="inlineStr">
        <is>
          <t>21</t>
        </is>
      </c>
      <c r="CW83" s="109" t="inlineStr">
        <is>
          <t>0,40x</t>
        </is>
      </c>
      <c r="CX83" s="110" t="inlineStr">
        <is>
          <t>28</t>
        </is>
      </c>
      <c r="CY83" s="111" t="inlineStr">
        <is>
          <t>-0,01x</t>
        </is>
      </c>
      <c r="CZ83" s="112" t="inlineStr">
        <is>
          <t>-2,00%</t>
        </is>
      </c>
      <c r="DA83" s="113" t="inlineStr">
        <is>
          <t>0,58x</t>
        </is>
      </c>
      <c r="DB83" s="114" t="inlineStr">
        <is>
          <t>38</t>
        </is>
      </c>
      <c r="DC83" s="115" t="inlineStr">
        <is>
          <t>0,21x</t>
        </is>
      </c>
      <c r="DD83" s="116" t="inlineStr">
        <is>
          <t>22</t>
        </is>
      </c>
      <c r="DE83" s="117" t="inlineStr">
        <is>
          <t>0,09x</t>
        </is>
      </c>
      <c r="DF83" s="118" t="inlineStr">
        <is>
          <t>4</t>
        </is>
      </c>
      <c r="DG83" s="119" t="inlineStr">
        <is>
          <t>1,08x</t>
        </is>
      </c>
      <c r="DH83" s="120" t="inlineStr">
        <is>
          <t>52</t>
        </is>
      </c>
      <c r="DI83" s="121" t="inlineStr">
        <is>
          <t/>
        </is>
      </c>
      <c r="DJ83" s="122" t="inlineStr">
        <is>
          <t/>
        </is>
      </c>
      <c r="DK83" s="123" t="inlineStr">
        <is>
          <t>0,21x</t>
        </is>
      </c>
      <c r="DL83" s="124" t="inlineStr">
        <is>
          <t>25</t>
        </is>
      </c>
      <c r="DM83" s="125" t="inlineStr">
        <is>
          <t>233</t>
        </is>
      </c>
      <c r="DN83" s="126" t="inlineStr">
        <is>
          <t>-470</t>
        </is>
      </c>
      <c r="DO83" s="127" t="inlineStr">
        <is>
          <t>-66,86%</t>
        </is>
      </c>
      <c r="DP83" s="128" t="inlineStr">
        <is>
          <t/>
        </is>
      </c>
      <c r="DQ83" s="129" t="inlineStr">
        <is>
          <t/>
        </is>
      </c>
      <c r="DR83" s="130" t="inlineStr">
        <is>
          <t/>
        </is>
      </c>
      <c r="DS83" s="131" t="inlineStr">
        <is>
          <t>39</t>
        </is>
      </c>
      <c r="DT83" s="132" t="inlineStr">
        <is>
          <t>-1</t>
        </is>
      </c>
      <c r="DU83" s="133" t="inlineStr">
        <is>
          <t>-2,50%</t>
        </is>
      </c>
      <c r="DV83" s="134" t="inlineStr">
        <is>
          <t>77</t>
        </is>
      </c>
      <c r="DW83" s="135" t="inlineStr">
        <is>
          <t>0</t>
        </is>
      </c>
      <c r="DX83" s="136" t="inlineStr">
        <is>
          <t>0,00%</t>
        </is>
      </c>
      <c r="DY83" s="137" t="inlineStr">
        <is>
          <t>PitchBook Research</t>
        </is>
      </c>
      <c r="DZ83" s="785">
        <f>HYPERLINK("https://my.pitchbook.com?c=182832-31", "View company online")</f>
      </c>
    </row>
    <row r="84">
      <c r="A84" s="139" t="inlineStr">
        <is>
          <t>56553-31</t>
        </is>
      </c>
      <c r="B84" s="140" t="inlineStr">
        <is>
          <t>Ideol</t>
        </is>
      </c>
      <c r="C84" s="141" t="inlineStr">
        <is>
          <t/>
        </is>
      </c>
      <c r="D84" s="142" t="inlineStr">
        <is>
          <t/>
        </is>
      </c>
      <c r="E84" s="143" t="inlineStr">
        <is>
          <t>56553-31</t>
        </is>
      </c>
      <c r="F84" s="144" t="inlineStr">
        <is>
          <t>Manufacturer of offshore wind technology equipment designed to offer fully integrated offshore wind systems. The company's offshore wind technology equipment are manufactured mainly for foundation of floating wind turbines and also specializes in the design of the floating substructure and its mooring system, enabling wind energy industries to reduce costs while maximizing local benefits.</t>
        </is>
      </c>
      <c r="G84" s="145" t="inlineStr">
        <is>
          <t>Business Products and Services (B2B)</t>
        </is>
      </c>
      <c r="H84" s="146" t="inlineStr">
        <is>
          <t>Commercial Services</t>
        </is>
      </c>
      <c r="I84" s="147" t="inlineStr">
        <is>
          <t>Consulting Services (B2B)</t>
        </is>
      </c>
      <c r="J84" s="148" t="inlineStr">
        <is>
          <t>Consulting Services (B2B)*; Other Commercial Products; Construction and Engineering; Alternative Energy Equipment</t>
        </is>
      </c>
      <c r="K84" s="149" t="inlineStr">
        <is>
          <t>Manufacturing</t>
        </is>
      </c>
      <c r="L84" s="150" t="inlineStr">
        <is>
          <t>Venture Capital-Backed</t>
        </is>
      </c>
      <c r="M84" s="151" t="n">
        <v>24.0</v>
      </c>
      <c r="N84" s="152" t="inlineStr">
        <is>
          <t>Generating Revenue</t>
        </is>
      </c>
      <c r="O84" s="153" t="inlineStr">
        <is>
          <t>Privately Held (backing)</t>
        </is>
      </c>
      <c r="P84" s="154" t="inlineStr">
        <is>
          <t>Venture Capital</t>
        </is>
      </c>
      <c r="Q84" s="155" t="inlineStr">
        <is>
          <t>www.ideol-offshore.com</t>
        </is>
      </c>
      <c r="R84" s="156" t="n">
        <v>43.0</v>
      </c>
      <c r="S84" s="157" t="inlineStr">
        <is>
          <t/>
        </is>
      </c>
      <c r="T84" s="158" t="inlineStr">
        <is>
          <t/>
        </is>
      </c>
      <c r="U84" s="159" t="n">
        <v>2010.0</v>
      </c>
      <c r="V84" s="160" t="inlineStr">
        <is>
          <t/>
        </is>
      </c>
      <c r="W84" s="161" t="inlineStr">
        <is>
          <t/>
        </is>
      </c>
      <c r="X84" s="162" t="inlineStr">
        <is>
          <t/>
        </is>
      </c>
      <c r="Y84" s="163" t="n">
        <v>2.96909</v>
      </c>
      <c r="Z84" s="164" t="n">
        <v>0.0</v>
      </c>
      <c r="AA84" s="165" t="inlineStr">
        <is>
          <t/>
        </is>
      </c>
      <c r="AB84" s="166" t="inlineStr">
        <is>
          <t/>
        </is>
      </c>
      <c r="AC84" s="167" t="n">
        <v>-1.29957</v>
      </c>
      <c r="AD84" s="168" t="inlineStr">
        <is>
          <t>FY 2016</t>
        </is>
      </c>
      <c r="AE84" s="169" t="inlineStr">
        <is>
          <t>54943-39P</t>
        </is>
      </c>
      <c r="AF84" s="170" t="inlineStr">
        <is>
          <t>Paul de la Guérivière</t>
        </is>
      </c>
      <c r="AG84" s="171" t="inlineStr">
        <is>
          <t>Chief Executive Officer, President, Board Member &amp; Co-Founder</t>
        </is>
      </c>
      <c r="AH84" s="172" t="inlineStr">
        <is>
          <t>paul@ideol-offshore.com</t>
        </is>
      </c>
      <c r="AI84" s="173" t="inlineStr">
        <is>
          <t>+33 (0)4 86 20 80 50</t>
        </is>
      </c>
      <c r="AJ84" s="174" t="inlineStr">
        <is>
          <t>La Ciotat, France</t>
        </is>
      </c>
      <c r="AK84" s="175" t="inlineStr">
        <is>
          <t>Espace Mistral – Bât B</t>
        </is>
      </c>
      <c r="AL84" s="176" t="inlineStr">
        <is>
          <t>375 avenue du Mistral</t>
        </is>
      </c>
      <c r="AM84" s="177" t="inlineStr">
        <is>
          <t>La Ciotat</t>
        </is>
      </c>
      <c r="AN84" s="178" t="inlineStr">
        <is>
          <t/>
        </is>
      </c>
      <c r="AO84" s="179" t="inlineStr">
        <is>
          <t>13600</t>
        </is>
      </c>
      <c r="AP84" s="180" t="inlineStr">
        <is>
          <t>France</t>
        </is>
      </c>
      <c r="AQ84" s="181" t="inlineStr">
        <is>
          <t>+33 (0)4 86 20 80 50</t>
        </is>
      </c>
      <c r="AR84" s="182" t="inlineStr">
        <is>
          <t>+33 (0)4 42 01 12 04</t>
        </is>
      </c>
      <c r="AS84" s="183" t="inlineStr">
        <is>
          <t>info@ideol-offshore.com</t>
        </is>
      </c>
      <c r="AT84" s="184" t="inlineStr">
        <is>
          <t>Europe</t>
        </is>
      </c>
      <c r="AU84" s="185" t="inlineStr">
        <is>
          <t>Western Europe</t>
        </is>
      </c>
      <c r="AV84" s="186" t="inlineStr">
        <is>
          <t>The company raised EUR 8 million of venture funding from Hitachi Zosen, Siem Offshore and Amundi Private Equity on June 6, 2017. Tertium, PACA Investissement and Conseil Plus Gestion also participated in this round. Earlier, the company raised EUR 3 million of venture funding from Tertium Investissements, Turenne Capital and Demeter Partners on May 25, 2016.</t>
        </is>
      </c>
      <c r="AW84" s="187" t="inlineStr">
        <is>
          <t>ADEME, Amundi Private Equity Funds, Conseil Plus Gestion, CPG Finance, Demeter Partners, Dominique Michel, Guy Fleury, Hitachi Zosen, Horizon 2020, HPC capital, IO group, OSEO Innovation, PACA Investissement, Siem Offshore, Sofimac Partners, SORIDEC, Tertium, Turenne Capital Partenaires</t>
        </is>
      </c>
      <c r="AX84" s="188" t="n">
        <v>18.0</v>
      </c>
      <c r="AY84" s="189" t="inlineStr">
        <is>
          <t/>
        </is>
      </c>
      <c r="AZ84" s="190" t="inlineStr">
        <is>
          <t/>
        </is>
      </c>
      <c r="BA84" s="191" t="inlineStr">
        <is>
          <t/>
        </is>
      </c>
      <c r="BB84" s="192" t="inlineStr">
        <is>
          <t>ADEME (www.ademe.fr), Amundi Private Equity Funds (www.amundi.fr), Conseil Plus Gestion (www.cpgfinance.com), Demeter Partners (www.demeter-partners.com), Hitachi Zosen (www.hitachizosen.co.jp), HPC capital (www.hpc-capital.de), PACA Investissement (www.pacainvestissement.com), Siem Offshore (www.siemoffshore.com), Sofimac Partners (www.sofimacpartners.fr), SORIDEC (www.soridec.fr), Tertium (www.tertium-invest.com), Turenne Capital Partenaires (www.turennecapital.com)</t>
        </is>
      </c>
      <c r="BC84" s="193" t="inlineStr">
        <is>
          <t/>
        </is>
      </c>
      <c r="BD84" s="194" t="inlineStr">
        <is>
          <t/>
        </is>
      </c>
      <c r="BE84" s="195" t="inlineStr">
        <is>
          <t/>
        </is>
      </c>
      <c r="BF84" s="196" t="inlineStr">
        <is>
          <t>Caisse d'Epargne (Debt Financing), Pinot de Villechenon &amp; Associés (Legal Advisor), BNP Paribas (Debt Financing)</t>
        </is>
      </c>
      <c r="BG84" s="197" t="n">
        <v>40695.0</v>
      </c>
      <c r="BH84" s="198" t="n">
        <v>1.0</v>
      </c>
      <c r="BI84" s="199" t="inlineStr">
        <is>
          <t>Actual</t>
        </is>
      </c>
      <c r="BJ84" s="200" t="inlineStr">
        <is>
          <t/>
        </is>
      </c>
      <c r="BK84" s="201" t="inlineStr">
        <is>
          <t/>
        </is>
      </c>
      <c r="BL84" s="202" t="inlineStr">
        <is>
          <t>Early Stage VC</t>
        </is>
      </c>
      <c r="BM84" s="203" t="inlineStr">
        <is>
          <t/>
        </is>
      </c>
      <c r="BN84" s="204" t="inlineStr">
        <is>
          <t/>
        </is>
      </c>
      <c r="BO84" s="205" t="inlineStr">
        <is>
          <t>Venture Capital</t>
        </is>
      </c>
      <c r="BP84" s="206" t="inlineStr">
        <is>
          <t/>
        </is>
      </c>
      <c r="BQ84" s="207" t="inlineStr">
        <is>
          <t/>
        </is>
      </c>
      <c r="BR84" s="208" t="inlineStr">
        <is>
          <t/>
        </is>
      </c>
      <c r="BS84" s="209" t="inlineStr">
        <is>
          <t>Completed</t>
        </is>
      </c>
      <c r="BT84" s="210" t="n">
        <v>42892.0</v>
      </c>
      <c r="BU84" s="211" t="n">
        <v>8.0</v>
      </c>
      <c r="BV84" s="212" t="inlineStr">
        <is>
          <t>Actual</t>
        </is>
      </c>
      <c r="BW84" s="213" t="inlineStr">
        <is>
          <t/>
        </is>
      </c>
      <c r="BX84" s="214" t="inlineStr">
        <is>
          <t/>
        </is>
      </c>
      <c r="BY84" s="215" t="inlineStr">
        <is>
          <t>Later Stage VC</t>
        </is>
      </c>
      <c r="BZ84" s="216" t="inlineStr">
        <is>
          <t/>
        </is>
      </c>
      <c r="CA84" s="217" t="inlineStr">
        <is>
          <t/>
        </is>
      </c>
      <c r="CB84" s="218" t="inlineStr">
        <is>
          <t>Venture Capital</t>
        </is>
      </c>
      <c r="CC84" s="219" t="inlineStr">
        <is>
          <t/>
        </is>
      </c>
      <c r="CD84" s="220" t="inlineStr">
        <is>
          <t/>
        </is>
      </c>
      <c r="CE84" s="221" t="inlineStr">
        <is>
          <t/>
        </is>
      </c>
      <c r="CF84" s="222" t="inlineStr">
        <is>
          <t>Completed</t>
        </is>
      </c>
      <c r="CG84" s="223" t="inlineStr">
        <is>
          <t>0,11%</t>
        </is>
      </c>
      <c r="CH84" s="224" t="inlineStr">
        <is>
          <t>83</t>
        </is>
      </c>
      <c r="CI84" s="225" t="inlineStr">
        <is>
          <t>0,06%</t>
        </is>
      </c>
      <c r="CJ84" s="226" t="inlineStr">
        <is>
          <t>125,73%</t>
        </is>
      </c>
      <c r="CK84" s="227" t="inlineStr">
        <is>
          <t>-1,70%</t>
        </is>
      </c>
      <c r="CL84" s="228" t="inlineStr">
        <is>
          <t>16</t>
        </is>
      </c>
      <c r="CM84" s="229" t="inlineStr">
        <is>
          <t>1,92%</t>
        </is>
      </c>
      <c r="CN84" s="230" t="inlineStr">
        <is>
          <t>99</t>
        </is>
      </c>
      <c r="CO84" s="231" t="inlineStr">
        <is>
          <t>-3,98%</t>
        </is>
      </c>
      <c r="CP84" s="232" t="inlineStr">
        <is>
          <t>24</t>
        </is>
      </c>
      <c r="CQ84" s="233" t="inlineStr">
        <is>
          <t>0,58%</t>
        </is>
      </c>
      <c r="CR84" s="234" t="inlineStr">
        <is>
          <t>92</t>
        </is>
      </c>
      <c r="CS84" s="235" t="inlineStr">
        <is>
          <t/>
        </is>
      </c>
      <c r="CT84" s="236" t="inlineStr">
        <is>
          <t/>
        </is>
      </c>
      <c r="CU84" s="237" t="inlineStr">
        <is>
          <t>1,92%</t>
        </is>
      </c>
      <c r="CV84" s="238" t="inlineStr">
        <is>
          <t>99</t>
        </is>
      </c>
      <c r="CW84" s="239" t="inlineStr">
        <is>
          <t>2,13x</t>
        </is>
      </c>
      <c r="CX84" s="240" t="inlineStr">
        <is>
          <t>66</t>
        </is>
      </c>
      <c r="CY84" s="241" t="inlineStr">
        <is>
          <t>0,01x</t>
        </is>
      </c>
      <c r="CZ84" s="242" t="inlineStr">
        <is>
          <t>0,26%</t>
        </is>
      </c>
      <c r="DA84" s="243" t="inlineStr">
        <is>
          <t>2,49x</t>
        </is>
      </c>
      <c r="DB84" s="244" t="inlineStr">
        <is>
          <t>71</t>
        </is>
      </c>
      <c r="DC84" s="245" t="inlineStr">
        <is>
          <t>1,76x</t>
        </is>
      </c>
      <c r="DD84" s="246" t="inlineStr">
        <is>
          <t>59</t>
        </is>
      </c>
      <c r="DE84" s="247" t="inlineStr">
        <is>
          <t>2,04x</t>
        </is>
      </c>
      <c r="DF84" s="248" t="inlineStr">
        <is>
          <t>66</t>
        </is>
      </c>
      <c r="DG84" s="249" t="inlineStr">
        <is>
          <t>2,94x</t>
        </is>
      </c>
      <c r="DH84" s="250" t="inlineStr">
        <is>
          <t>72</t>
        </is>
      </c>
      <c r="DI84" s="251" t="inlineStr">
        <is>
          <t/>
        </is>
      </c>
      <c r="DJ84" s="252" t="inlineStr">
        <is>
          <t/>
        </is>
      </c>
      <c r="DK84" s="253" t="inlineStr">
        <is>
          <t>1,76x</t>
        </is>
      </c>
      <c r="DL84" s="254" t="inlineStr">
        <is>
          <t>61</t>
        </is>
      </c>
      <c r="DM84" s="255" t="inlineStr">
        <is>
          <t>731</t>
        </is>
      </c>
      <c r="DN84" s="256" t="inlineStr">
        <is>
          <t>73</t>
        </is>
      </c>
      <c r="DO84" s="257" t="inlineStr">
        <is>
          <t>11,09%</t>
        </is>
      </c>
      <c r="DP84" s="258" t="inlineStr">
        <is>
          <t/>
        </is>
      </c>
      <c r="DQ84" s="259" t="inlineStr">
        <is>
          <t/>
        </is>
      </c>
      <c r="DR84" s="260" t="inlineStr">
        <is>
          <t/>
        </is>
      </c>
      <c r="DS84" s="261" t="inlineStr">
        <is>
          <t>105</t>
        </is>
      </c>
      <c r="DT84" s="262" t="inlineStr">
        <is>
          <t>1</t>
        </is>
      </c>
      <c r="DU84" s="263" t="inlineStr">
        <is>
          <t>0,96%</t>
        </is>
      </c>
      <c r="DV84" s="264" t="inlineStr">
        <is>
          <t>657</t>
        </is>
      </c>
      <c r="DW84" s="265" t="inlineStr">
        <is>
          <t>6</t>
        </is>
      </c>
      <c r="DX84" s="266" t="inlineStr">
        <is>
          <t>0,92%</t>
        </is>
      </c>
      <c r="DY84" s="267" t="inlineStr">
        <is>
          <t>PitchBook Research</t>
        </is>
      </c>
      <c r="DZ84" s="786">
        <f>HYPERLINK("https://my.pitchbook.com?c=56553-31", "View company online")</f>
      </c>
    </row>
    <row r="85">
      <c r="A85" s="9" t="inlineStr">
        <is>
          <t>54733-60</t>
        </is>
      </c>
      <c r="B85" s="10" t="inlineStr">
        <is>
          <t>Apica</t>
        </is>
      </c>
      <c r="C85" s="11" t="inlineStr">
        <is>
          <t/>
        </is>
      </c>
      <c r="D85" s="12" t="inlineStr">
        <is>
          <t>Apcia System</t>
        </is>
      </c>
      <c r="E85" s="13" t="inlineStr">
        <is>
          <t>54733-60</t>
        </is>
      </c>
      <c r="F85" s="14" t="inlineStr">
        <is>
          <t>Provider of a load testing and performance monitoring technology designed to detect the highest standard for cloud and mobile application performance management. The company's load testing and performance monitoring technology can be used in cloud and mobile to deliver web performance services, including high capacity load testing and synthetic web performance monitoring, enabling customers to ensure that the website and application is up and running.</t>
        </is>
      </c>
      <c r="G85" s="15" t="inlineStr">
        <is>
          <t>Information Technology</t>
        </is>
      </c>
      <c r="H85" s="16" t="inlineStr">
        <is>
          <t>Software</t>
        </is>
      </c>
      <c r="I85" s="17" t="inlineStr">
        <is>
          <t>Business/Productivity Software</t>
        </is>
      </c>
      <c r="J85" s="18" t="inlineStr">
        <is>
          <t>Business/Productivity Software*; Network Management Software; Other Software</t>
        </is>
      </c>
      <c r="K85" s="19" t="inlineStr">
        <is>
          <t>Mobile, SaaS</t>
        </is>
      </c>
      <c r="L85" s="20" t="inlineStr">
        <is>
          <t>Venture Capital-Backed</t>
        </is>
      </c>
      <c r="M85" s="21" t="n">
        <v>23.55</v>
      </c>
      <c r="N85" s="22" t="inlineStr">
        <is>
          <t>Generating Revenue</t>
        </is>
      </c>
      <c r="O85" s="23" t="inlineStr">
        <is>
          <t>Privately Held (backing)</t>
        </is>
      </c>
      <c r="P85" s="24" t="inlineStr">
        <is>
          <t>Venture Capital</t>
        </is>
      </c>
      <c r="Q85" s="25" t="inlineStr">
        <is>
          <t>www.apicasystem.com</t>
        </is>
      </c>
      <c r="R85" s="26" t="n">
        <v>30.0</v>
      </c>
      <c r="S85" s="27" t="inlineStr">
        <is>
          <t/>
        </is>
      </c>
      <c r="T85" s="28" t="inlineStr">
        <is>
          <t/>
        </is>
      </c>
      <c r="U85" s="29" t="n">
        <v>2005.0</v>
      </c>
      <c r="V85" s="30" t="inlineStr">
        <is>
          <t/>
        </is>
      </c>
      <c r="W85" s="31" t="inlineStr">
        <is>
          <t/>
        </is>
      </c>
      <c r="X85" s="32" t="inlineStr">
        <is>
          <t/>
        </is>
      </c>
      <c r="Y85" s="33" t="n">
        <v>9.01274</v>
      </c>
      <c r="Z85" s="34" t="inlineStr">
        <is>
          <t/>
        </is>
      </c>
      <c r="AA85" s="35" t="inlineStr">
        <is>
          <t/>
        </is>
      </c>
      <c r="AB85" s="36" t="inlineStr">
        <is>
          <t/>
        </is>
      </c>
      <c r="AC85" s="37" t="n">
        <v>-1.19435</v>
      </c>
      <c r="AD85" s="38" t="inlineStr">
        <is>
          <t>FY 2015</t>
        </is>
      </c>
      <c r="AE85" s="39" t="inlineStr">
        <is>
          <t>62331-76P</t>
        </is>
      </c>
      <c r="AF85" s="40" t="inlineStr">
        <is>
          <t>Michael Bergander</t>
        </is>
      </c>
      <c r="AG85" s="41" t="inlineStr">
        <is>
          <t>Chief Financial Officer</t>
        </is>
      </c>
      <c r="AH85" s="42" t="inlineStr">
        <is>
          <t>michael.bergander@apicasystem.com</t>
        </is>
      </c>
      <c r="AI85" s="43" t="inlineStr">
        <is>
          <t>+46 (0)84 00 27 327</t>
        </is>
      </c>
      <c r="AJ85" s="44" t="inlineStr">
        <is>
          <t>Stockholm, Sweden</t>
        </is>
      </c>
      <c r="AK85" s="45" t="inlineStr">
        <is>
          <t>Garvargatan 9</t>
        </is>
      </c>
      <c r="AL85" s="46" t="inlineStr">
        <is>
          <t/>
        </is>
      </c>
      <c r="AM85" s="47" t="inlineStr">
        <is>
          <t>Stockholm</t>
        </is>
      </c>
      <c r="AN85" s="48" t="inlineStr">
        <is>
          <t/>
        </is>
      </c>
      <c r="AO85" s="49" t="inlineStr">
        <is>
          <t>112 21</t>
        </is>
      </c>
      <c r="AP85" s="50" t="inlineStr">
        <is>
          <t>Sweden</t>
        </is>
      </c>
      <c r="AQ85" s="51" t="inlineStr">
        <is>
          <t>+46 (0)84 00 27 327</t>
        </is>
      </c>
      <c r="AR85" s="52" t="inlineStr">
        <is>
          <t/>
        </is>
      </c>
      <c r="AS85" s="53" t="inlineStr">
        <is>
          <t/>
        </is>
      </c>
      <c r="AT85" s="54" t="inlineStr">
        <is>
          <t>Europe</t>
        </is>
      </c>
      <c r="AU85" s="55" t="inlineStr">
        <is>
          <t>Northern Europe</t>
        </is>
      </c>
      <c r="AV85" s="56" t="inlineStr">
        <is>
          <t>The company raised $12 million of venture funding in a deal led by Oxx (London) on September 4, 2017. Industrifonden, Almi Invest, KTH Chalmers Capital and Skandinaviska Enskilda Banken also participated in this round. The investment will help Apica expand its market presence in the U.S. and Europe outside of the Nordics.</t>
        </is>
      </c>
      <c r="AW85" s="57" t="inlineStr">
        <is>
          <t>Almi Invest, Industrifonden, KTH Chalmers Capital, Oxx (London), Skandinaviska Enskilda Banken</t>
        </is>
      </c>
      <c r="AX85" s="58" t="n">
        <v>5.0</v>
      </c>
      <c r="AY85" s="59" t="inlineStr">
        <is>
          <t/>
        </is>
      </c>
      <c r="AZ85" s="60" t="inlineStr">
        <is>
          <t/>
        </is>
      </c>
      <c r="BA85" s="61" t="inlineStr">
        <is>
          <t/>
        </is>
      </c>
      <c r="BB85" s="62" t="inlineStr">
        <is>
          <t>Industrifonden (www.industrifonden.com), KTH Chalmers Capital (www.kthchalmerscapital.se), Oxx (London) (www.oxx.vc), Skandinaviska Enskilda Banken (www.seb.no)</t>
        </is>
      </c>
      <c r="BC85" s="63" t="inlineStr">
        <is>
          <t/>
        </is>
      </c>
      <c r="BD85" s="64" t="inlineStr">
        <is>
          <t/>
        </is>
      </c>
      <c r="BE85" s="65" t="inlineStr">
        <is>
          <t/>
        </is>
      </c>
      <c r="BF85" s="66" t="inlineStr">
        <is>
          <t/>
        </is>
      </c>
      <c r="BG85" s="67" t="n">
        <v>39230.0</v>
      </c>
      <c r="BH85" s="68" t="n">
        <v>3.7</v>
      </c>
      <c r="BI85" s="69" t="inlineStr">
        <is>
          <t>Actual</t>
        </is>
      </c>
      <c r="BJ85" s="70" t="inlineStr">
        <is>
          <t/>
        </is>
      </c>
      <c r="BK85" s="71" t="inlineStr">
        <is>
          <t/>
        </is>
      </c>
      <c r="BL85" s="72" t="inlineStr">
        <is>
          <t>Early Stage VC</t>
        </is>
      </c>
      <c r="BM85" s="73" t="inlineStr">
        <is>
          <t/>
        </is>
      </c>
      <c r="BN85" s="74" t="inlineStr">
        <is>
          <t/>
        </is>
      </c>
      <c r="BO85" s="75" t="inlineStr">
        <is>
          <t>Venture Capital</t>
        </is>
      </c>
      <c r="BP85" s="76" t="inlineStr">
        <is>
          <t/>
        </is>
      </c>
      <c r="BQ85" s="77" t="inlineStr">
        <is>
          <t/>
        </is>
      </c>
      <c r="BR85" s="78" t="inlineStr">
        <is>
          <t/>
        </is>
      </c>
      <c r="BS85" s="79" t="inlineStr">
        <is>
          <t>Completed</t>
        </is>
      </c>
      <c r="BT85" s="80" t="n">
        <v>42982.0</v>
      </c>
      <c r="BU85" s="81" t="n">
        <v>10.07</v>
      </c>
      <c r="BV85" s="82" t="inlineStr">
        <is>
          <t>Actual</t>
        </is>
      </c>
      <c r="BW85" s="83" t="inlineStr">
        <is>
          <t/>
        </is>
      </c>
      <c r="BX85" s="84" t="inlineStr">
        <is>
          <t/>
        </is>
      </c>
      <c r="BY85" s="85" t="inlineStr">
        <is>
          <t>Later Stage VC</t>
        </is>
      </c>
      <c r="BZ85" s="86" t="inlineStr">
        <is>
          <t/>
        </is>
      </c>
      <c r="CA85" s="87" t="inlineStr">
        <is>
          <t/>
        </is>
      </c>
      <c r="CB85" s="88" t="inlineStr">
        <is>
          <t>Venture Capital</t>
        </is>
      </c>
      <c r="CC85" s="89" t="inlineStr">
        <is>
          <t/>
        </is>
      </c>
      <c r="CD85" s="90" t="inlineStr">
        <is>
          <t/>
        </is>
      </c>
      <c r="CE85" s="91" t="inlineStr">
        <is>
          <t/>
        </is>
      </c>
      <c r="CF85" s="92" t="inlineStr">
        <is>
          <t>Completed</t>
        </is>
      </c>
      <c r="CG85" s="93" t="inlineStr">
        <is>
          <t>-3,76%</t>
        </is>
      </c>
      <c r="CH85" s="94" t="inlineStr">
        <is>
          <t>5</t>
        </is>
      </c>
      <c r="CI85" s="95" t="inlineStr">
        <is>
          <t>-0,07%</t>
        </is>
      </c>
      <c r="CJ85" s="96" t="inlineStr">
        <is>
          <t>-2,00%</t>
        </is>
      </c>
      <c r="CK85" s="97" t="inlineStr">
        <is>
          <t>-10,86%</t>
        </is>
      </c>
      <c r="CL85" s="98" t="inlineStr">
        <is>
          <t>3</t>
        </is>
      </c>
      <c r="CM85" s="99" t="inlineStr">
        <is>
          <t>0,38%</t>
        </is>
      </c>
      <c r="CN85" s="100" t="inlineStr">
        <is>
          <t>84</t>
        </is>
      </c>
      <c r="CO85" s="101" t="inlineStr">
        <is>
          <t>-18,59%</t>
        </is>
      </c>
      <c r="CP85" s="102" t="inlineStr">
        <is>
          <t>6</t>
        </is>
      </c>
      <c r="CQ85" s="103" t="inlineStr">
        <is>
          <t>-3,12%</t>
        </is>
      </c>
      <c r="CR85" s="104" t="inlineStr">
        <is>
          <t>2</t>
        </is>
      </c>
      <c r="CS85" s="105" t="inlineStr">
        <is>
          <t>-0,10%</t>
        </is>
      </c>
      <c r="CT85" s="106" t="inlineStr">
        <is>
          <t>3</t>
        </is>
      </c>
      <c r="CU85" s="107" t="inlineStr">
        <is>
          <t>0,86%</t>
        </is>
      </c>
      <c r="CV85" s="108" t="inlineStr">
        <is>
          <t>96</t>
        </is>
      </c>
      <c r="CW85" s="109" t="inlineStr">
        <is>
          <t>4,50x</t>
        </is>
      </c>
      <c r="CX85" s="110" t="inlineStr">
        <is>
          <t>78</t>
        </is>
      </c>
      <c r="CY85" s="111" t="inlineStr">
        <is>
          <t>-0,15x</t>
        </is>
      </c>
      <c r="CZ85" s="112" t="inlineStr">
        <is>
          <t>-3,19%</t>
        </is>
      </c>
      <c r="DA85" s="113" t="inlineStr">
        <is>
          <t>11,25x</t>
        </is>
      </c>
      <c r="DB85" s="114" t="inlineStr">
        <is>
          <t>90</t>
        </is>
      </c>
      <c r="DC85" s="115" t="inlineStr">
        <is>
          <t>2,15x</t>
        </is>
      </c>
      <c r="DD85" s="116" t="inlineStr">
        <is>
          <t>63</t>
        </is>
      </c>
      <c r="DE85" s="117" t="inlineStr">
        <is>
          <t>0,89x</t>
        </is>
      </c>
      <c r="DF85" s="118" t="inlineStr">
        <is>
          <t>48</t>
        </is>
      </c>
      <c r="DG85" s="119" t="inlineStr">
        <is>
          <t>21,61x</t>
        </is>
      </c>
      <c r="DH85" s="120" t="inlineStr">
        <is>
          <t>94</t>
        </is>
      </c>
      <c r="DI85" s="121" t="inlineStr">
        <is>
          <t>0,48x</t>
        </is>
      </c>
      <c r="DJ85" s="122" t="inlineStr">
        <is>
          <t>38</t>
        </is>
      </c>
      <c r="DK85" s="123" t="inlineStr">
        <is>
          <t>3,81x</t>
        </is>
      </c>
      <c r="DL85" s="124" t="inlineStr">
        <is>
          <t>75</t>
        </is>
      </c>
      <c r="DM85" s="125" t="inlineStr">
        <is>
          <t>1.188</t>
        </is>
      </c>
      <c r="DN85" s="126" t="inlineStr">
        <is>
          <t>-2.006</t>
        </is>
      </c>
      <c r="DO85" s="127" t="inlineStr">
        <is>
          <t>-62,81%</t>
        </is>
      </c>
      <c r="DP85" s="128" t="inlineStr">
        <is>
          <t>384</t>
        </is>
      </c>
      <c r="DQ85" s="129" t="inlineStr">
        <is>
          <t>-1</t>
        </is>
      </c>
      <c r="DR85" s="130" t="inlineStr">
        <is>
          <t>-0,26%</t>
        </is>
      </c>
      <c r="DS85" s="131" t="inlineStr">
        <is>
          <t>790</t>
        </is>
      </c>
      <c r="DT85" s="132" t="inlineStr">
        <is>
          <t>-29</t>
        </is>
      </c>
      <c r="DU85" s="133" t="inlineStr">
        <is>
          <t>-3,54%</t>
        </is>
      </c>
      <c r="DV85" s="134" t="inlineStr">
        <is>
          <t>1.429</t>
        </is>
      </c>
      <c r="DW85" s="135" t="inlineStr">
        <is>
          <t>-1</t>
        </is>
      </c>
      <c r="DX85" s="136" t="inlineStr">
        <is>
          <t>-0,07%</t>
        </is>
      </c>
      <c r="DY85" s="137" t="inlineStr">
        <is>
          <t>PitchBook Research</t>
        </is>
      </c>
      <c r="DZ85" s="785">
        <f>HYPERLINK("https://my.pitchbook.com?c=54733-60", "View company online")</f>
      </c>
    </row>
    <row r="86">
      <c r="A86" s="139" t="inlineStr">
        <is>
          <t>55253-44</t>
        </is>
      </c>
      <c r="B86" s="140" t="inlineStr">
        <is>
          <t>Antidote</t>
        </is>
      </c>
      <c r="C86" s="141" t="inlineStr">
        <is>
          <t>TrialReach</t>
        </is>
      </c>
      <c r="D86" s="142" t="inlineStr">
        <is>
          <t/>
        </is>
      </c>
      <c r="E86" s="143" t="inlineStr">
        <is>
          <t>55253-44</t>
        </is>
      </c>
      <c r="F86" s="144" t="inlineStr">
        <is>
          <t>Provider of an online healthcare platform intended for clinical trials. The company's online healthcare platform includes Antidote Match, a simple search tool through which patients can find a trial that's right for them just by answering a few questions, enabling users to bridge the gap between patients wanting to take part in clinical trials and sponsors and investigators seeking to recruit participants.</t>
        </is>
      </c>
      <c r="G86" s="145" t="inlineStr">
        <is>
          <t>Information Technology</t>
        </is>
      </c>
      <c r="H86" s="146" t="inlineStr">
        <is>
          <t>Software</t>
        </is>
      </c>
      <c r="I86" s="147" t="inlineStr">
        <is>
          <t>Application Software</t>
        </is>
      </c>
      <c r="J86" s="148" t="inlineStr">
        <is>
          <t>Application Software*; Other Healthcare Technology Systems; Social/Platform Software</t>
        </is>
      </c>
      <c r="K86" s="149" t="inlineStr">
        <is>
          <t>HealthTech, Mobile</t>
        </is>
      </c>
      <c r="L86" s="150" t="inlineStr">
        <is>
          <t>Venture Capital-Backed</t>
        </is>
      </c>
      <c r="M86" s="151" t="n">
        <v>22.7</v>
      </c>
      <c r="N86" s="152" t="inlineStr">
        <is>
          <t>Generating Revenue</t>
        </is>
      </c>
      <c r="O86" s="153" t="inlineStr">
        <is>
          <t>Privately Held (backing)</t>
        </is>
      </c>
      <c r="P86" s="154" t="inlineStr">
        <is>
          <t>Venture Capital</t>
        </is>
      </c>
      <c r="Q86" s="155" t="inlineStr">
        <is>
          <t>www.antidote.me</t>
        </is>
      </c>
      <c r="R86" s="156" t="n">
        <v>43.0</v>
      </c>
      <c r="S86" s="157" t="inlineStr">
        <is>
          <t/>
        </is>
      </c>
      <c r="T86" s="158" t="inlineStr">
        <is>
          <t/>
        </is>
      </c>
      <c r="U86" s="159" t="n">
        <v>2010.0</v>
      </c>
      <c r="V86" s="160" t="inlineStr">
        <is>
          <t/>
        </is>
      </c>
      <c r="W86" s="161" t="inlineStr">
        <is>
          <t/>
        </is>
      </c>
      <c r="X86" s="162" t="inlineStr">
        <is>
          <t/>
        </is>
      </c>
      <c r="Y86" s="163" t="inlineStr">
        <is>
          <t/>
        </is>
      </c>
      <c r="Z86" s="164" t="inlineStr">
        <is>
          <t/>
        </is>
      </c>
      <c r="AA86" s="165" t="inlineStr">
        <is>
          <t/>
        </is>
      </c>
      <c r="AB86" s="166" t="inlineStr">
        <is>
          <t/>
        </is>
      </c>
      <c r="AC86" s="167" t="inlineStr">
        <is>
          <t/>
        </is>
      </c>
      <c r="AD86" s="168" t="inlineStr">
        <is>
          <t/>
        </is>
      </c>
      <c r="AE86" s="169" t="inlineStr">
        <is>
          <t>35692-30P</t>
        </is>
      </c>
      <c r="AF86" s="170" t="inlineStr">
        <is>
          <t>Keith Lovell</t>
        </is>
      </c>
      <c r="AG86" s="171" t="inlineStr">
        <is>
          <t>Executive Director &amp; Chief Financial Officer</t>
        </is>
      </c>
      <c r="AH86" s="172" t="inlineStr">
        <is>
          <t>keith.lovell@antidote.me</t>
        </is>
      </c>
      <c r="AI86" s="173" t="inlineStr">
        <is>
          <t>+44 (0)20 3475 8201</t>
        </is>
      </c>
      <c r="AJ86" s="174" t="inlineStr">
        <is>
          <t>London, United Kingdom</t>
        </is>
      </c>
      <c r="AK86" s="175" t="inlineStr">
        <is>
          <t>39 Earlham Street</t>
        </is>
      </c>
      <c r="AL86" s="176" t="inlineStr">
        <is>
          <t/>
        </is>
      </c>
      <c r="AM86" s="177" t="inlineStr">
        <is>
          <t>London</t>
        </is>
      </c>
      <c r="AN86" s="178" t="inlineStr">
        <is>
          <t>England</t>
        </is>
      </c>
      <c r="AO86" s="179" t="inlineStr">
        <is>
          <t>WC2H 9LT</t>
        </is>
      </c>
      <c r="AP86" s="180" t="inlineStr">
        <is>
          <t>United Kingdom</t>
        </is>
      </c>
      <c r="AQ86" s="181" t="inlineStr">
        <is>
          <t>+44 (0)20 3475 8201</t>
        </is>
      </c>
      <c r="AR86" s="182" t="inlineStr">
        <is>
          <t/>
        </is>
      </c>
      <c r="AS86" s="183" t="inlineStr">
        <is>
          <t>info@antidote.me</t>
        </is>
      </c>
      <c r="AT86" s="184" t="inlineStr">
        <is>
          <t>Europe</t>
        </is>
      </c>
      <c r="AU86" s="185" t="inlineStr">
        <is>
          <t>Western Europe</t>
        </is>
      </c>
      <c r="AV86" s="186" t="inlineStr">
        <is>
          <t>The company raised $11 million of venture funding in a deal led by Merck Global Health Innovation Fund on September 7, 2017. Smedvig Capital and Octopus Ventures also participated in the round. The funding will be used to accelerate the development of new capabilities for company's trial matching platform, including precision medicine and EHR-matching, as well as further global expansion. Previously, the company raised GBP 9.01 million of Series B venture funding in a deal led by Smedvig Capital on February 5, 2015, putting the pre-money valuation at GBP 4.03 million. Amadeus Capital Partners, Alexander Gerko and Octopus Ventures also participated in the round. The funding will be used to support the growth of its clinical trial platform and expansion into the U.S.</t>
        </is>
      </c>
      <c r="AW86" s="187" t="inlineStr">
        <is>
          <t>Alexander Gerko, Amadeus Capital Partners, Merck Global Health Innovation Fund, Octopus Ventures, Smedvig Capital</t>
        </is>
      </c>
      <c r="AX86" s="188" t="n">
        <v>5.0</v>
      </c>
      <c r="AY86" s="189" t="inlineStr">
        <is>
          <t/>
        </is>
      </c>
      <c r="AZ86" s="190" t="inlineStr">
        <is>
          <t/>
        </is>
      </c>
      <c r="BA86" s="191" t="inlineStr">
        <is>
          <t/>
        </is>
      </c>
      <c r="BB86" s="192" t="inlineStr">
        <is>
          <t>Amadeus Capital Partners (www.amadeuscapital.com), Merck Global Health Innovation Fund (www.merckghifund.com), Octopus Ventures (www.octopusventures.com), Smedvig Capital (www.smedvigcapital.com)</t>
        </is>
      </c>
      <c r="BC86" s="193" t="inlineStr">
        <is>
          <t/>
        </is>
      </c>
      <c r="BD86" s="194" t="inlineStr">
        <is>
          <t/>
        </is>
      </c>
      <c r="BE86" s="195" t="inlineStr">
        <is>
          <t>Morgan, Lewis &amp; Bockius (Legal Advisor)</t>
        </is>
      </c>
      <c r="BF86" s="196" t="inlineStr">
        <is>
          <t>Morgan, Lewis &amp; Bockius (Legal Advisor)</t>
        </is>
      </c>
      <c r="BG86" s="197" t="n">
        <v>40841.0</v>
      </c>
      <c r="BH86" s="198" t="n">
        <v>0.57</v>
      </c>
      <c r="BI86" s="199" t="inlineStr">
        <is>
          <t>Actual</t>
        </is>
      </c>
      <c r="BJ86" s="200" t="n">
        <v>1.78</v>
      </c>
      <c r="BK86" s="201" t="inlineStr">
        <is>
          <t>Actual</t>
        </is>
      </c>
      <c r="BL86" s="202" t="inlineStr">
        <is>
          <t>Seed Round</t>
        </is>
      </c>
      <c r="BM86" s="203" t="inlineStr">
        <is>
          <t>Seed</t>
        </is>
      </c>
      <c r="BN86" s="204" t="inlineStr">
        <is>
          <t/>
        </is>
      </c>
      <c r="BO86" s="205" t="inlineStr">
        <is>
          <t>Venture Capital</t>
        </is>
      </c>
      <c r="BP86" s="206" t="inlineStr">
        <is>
          <t/>
        </is>
      </c>
      <c r="BQ86" s="207" t="inlineStr">
        <is>
          <t/>
        </is>
      </c>
      <c r="BR86" s="208" t="inlineStr">
        <is>
          <t/>
        </is>
      </c>
      <c r="BS86" s="209" t="inlineStr">
        <is>
          <t>Completed</t>
        </is>
      </c>
      <c r="BT86" s="210" t="n">
        <v>42985.0</v>
      </c>
      <c r="BU86" s="211" t="n">
        <v>9.23</v>
      </c>
      <c r="BV86" s="212" t="inlineStr">
        <is>
          <t>Actual</t>
        </is>
      </c>
      <c r="BW86" s="213" t="inlineStr">
        <is>
          <t/>
        </is>
      </c>
      <c r="BX86" s="214" t="inlineStr">
        <is>
          <t/>
        </is>
      </c>
      <c r="BY86" s="215" t="inlineStr">
        <is>
          <t>Later Stage VC</t>
        </is>
      </c>
      <c r="BZ86" s="216" t="inlineStr">
        <is>
          <t/>
        </is>
      </c>
      <c r="CA86" s="217" t="inlineStr">
        <is>
          <t/>
        </is>
      </c>
      <c r="CB86" s="218" t="inlineStr">
        <is>
          <t>Venture Capital</t>
        </is>
      </c>
      <c r="CC86" s="219" t="inlineStr">
        <is>
          <t/>
        </is>
      </c>
      <c r="CD86" s="220" t="inlineStr">
        <is>
          <t/>
        </is>
      </c>
      <c r="CE86" s="221" t="inlineStr">
        <is>
          <t/>
        </is>
      </c>
      <c r="CF86" s="222" t="inlineStr">
        <is>
          <t>Completed</t>
        </is>
      </c>
      <c r="CG86" s="223" t="inlineStr">
        <is>
          <t>-0,53%</t>
        </is>
      </c>
      <c r="CH86" s="224" t="inlineStr">
        <is>
          <t>18</t>
        </is>
      </c>
      <c r="CI86" s="225" t="inlineStr">
        <is>
          <t>0,13%</t>
        </is>
      </c>
      <c r="CJ86" s="226" t="inlineStr">
        <is>
          <t>19,38%</t>
        </is>
      </c>
      <c r="CK86" s="227" t="inlineStr">
        <is>
          <t>-1,15%</t>
        </is>
      </c>
      <c r="CL86" s="228" t="inlineStr">
        <is>
          <t>18</t>
        </is>
      </c>
      <c r="CM86" s="229" t="inlineStr">
        <is>
          <t>0,10%</t>
        </is>
      </c>
      <c r="CN86" s="230" t="inlineStr">
        <is>
          <t>58</t>
        </is>
      </c>
      <c r="CO86" s="231" t="inlineStr">
        <is>
          <t>-0,37%</t>
        </is>
      </c>
      <c r="CP86" s="232" t="inlineStr">
        <is>
          <t>35</t>
        </is>
      </c>
      <c r="CQ86" s="233" t="inlineStr">
        <is>
          <t>-1,93%</t>
        </is>
      </c>
      <c r="CR86" s="234" t="inlineStr">
        <is>
          <t>3</t>
        </is>
      </c>
      <c r="CS86" s="235" t="inlineStr">
        <is>
          <t>0,05%</t>
        </is>
      </c>
      <c r="CT86" s="236" t="inlineStr">
        <is>
          <t>48</t>
        </is>
      </c>
      <c r="CU86" s="237" t="inlineStr">
        <is>
          <t>0,14%</t>
        </is>
      </c>
      <c r="CV86" s="238" t="inlineStr">
        <is>
          <t>71</t>
        </is>
      </c>
      <c r="CW86" s="239" t="inlineStr">
        <is>
          <t>37,29x</t>
        </is>
      </c>
      <c r="CX86" s="240" t="inlineStr">
        <is>
          <t>96</t>
        </is>
      </c>
      <c r="CY86" s="241" t="inlineStr">
        <is>
          <t>-0,25x</t>
        </is>
      </c>
      <c r="CZ86" s="242" t="inlineStr">
        <is>
          <t>-0,67%</t>
        </is>
      </c>
      <c r="DA86" s="243" t="inlineStr">
        <is>
          <t>6,95x</t>
        </is>
      </c>
      <c r="DB86" s="244" t="inlineStr">
        <is>
          <t>85</t>
        </is>
      </c>
      <c r="DC86" s="245" t="inlineStr">
        <is>
          <t>67,63x</t>
        </is>
      </c>
      <c r="DD86" s="246" t="inlineStr">
        <is>
          <t>95</t>
        </is>
      </c>
      <c r="DE86" s="247" t="inlineStr">
        <is>
          <t>8,95x</t>
        </is>
      </c>
      <c r="DF86" s="248" t="inlineStr">
        <is>
          <t>87</t>
        </is>
      </c>
      <c r="DG86" s="249" t="inlineStr">
        <is>
          <t>4,94x</t>
        </is>
      </c>
      <c r="DH86" s="250" t="inlineStr">
        <is>
          <t>79</t>
        </is>
      </c>
      <c r="DI86" s="251" t="inlineStr">
        <is>
          <t>127,50x</t>
        </is>
      </c>
      <c r="DJ86" s="252" t="inlineStr">
        <is>
          <t>96</t>
        </is>
      </c>
      <c r="DK86" s="253" t="inlineStr">
        <is>
          <t>7,77x</t>
        </is>
      </c>
      <c r="DL86" s="254" t="inlineStr">
        <is>
          <t>84</t>
        </is>
      </c>
      <c r="DM86" s="255" t="inlineStr">
        <is>
          <t>3.297</t>
        </is>
      </c>
      <c r="DN86" s="256" t="inlineStr">
        <is>
          <t>127</t>
        </is>
      </c>
      <c r="DO86" s="257" t="inlineStr">
        <is>
          <t>4,01%</t>
        </is>
      </c>
      <c r="DP86" s="258" t="inlineStr">
        <is>
          <t>100.959</t>
        </is>
      </c>
      <c r="DQ86" s="259" t="inlineStr">
        <is>
          <t>57</t>
        </is>
      </c>
      <c r="DR86" s="260" t="inlineStr">
        <is>
          <t>0,06%</t>
        </is>
      </c>
      <c r="DS86" s="261" t="inlineStr">
        <is>
          <t>178</t>
        </is>
      </c>
      <c r="DT86" s="262" t="inlineStr">
        <is>
          <t>-1</t>
        </is>
      </c>
      <c r="DU86" s="263" t="inlineStr">
        <is>
          <t>-0,56%</t>
        </is>
      </c>
      <c r="DV86" s="264" t="inlineStr">
        <is>
          <t>2.906</t>
        </is>
      </c>
      <c r="DW86" s="265" t="inlineStr">
        <is>
          <t>8</t>
        </is>
      </c>
      <c r="DX86" s="266" t="inlineStr">
        <is>
          <t>0,28%</t>
        </is>
      </c>
      <c r="DY86" s="267" t="inlineStr">
        <is>
          <t>PitchBook Research</t>
        </is>
      </c>
      <c r="DZ86" s="786">
        <f>HYPERLINK("https://my.pitchbook.com?c=55253-44", "View company online")</f>
      </c>
    </row>
    <row r="87">
      <c r="A87" s="9" t="inlineStr">
        <is>
          <t>93998-26</t>
        </is>
      </c>
      <c r="B87" s="10" t="inlineStr">
        <is>
          <t>Orbital Systems</t>
        </is>
      </c>
      <c r="C87" s="11" t="inlineStr">
        <is>
          <t/>
        </is>
      </c>
      <c r="D87" s="12" t="inlineStr">
        <is>
          <t/>
        </is>
      </c>
      <c r="E87" s="13" t="inlineStr">
        <is>
          <t>93998-26</t>
        </is>
      </c>
      <c r="F87" s="14" t="inlineStr">
        <is>
          <t>Developer of a water re-purification technology designed to reduce the quantity of water and vitality used when taking a shower. The company's water-saving shower ensures bacteria and other 'bad' elements found in water coming off the user's body is removed in each cycle and that if the water is deemed too contaminated, it's discarded altogether, enabling users to recycle and reuse their shower water and save water and energy up to 90% more compared to conventional showers</t>
        </is>
      </c>
      <c r="G87" s="15" t="inlineStr">
        <is>
          <t>Business Products and Services (B2B)</t>
        </is>
      </c>
      <c r="H87" s="16" t="inlineStr">
        <is>
          <t>Commercial Services</t>
        </is>
      </c>
      <c r="I87" s="17" t="inlineStr">
        <is>
          <t>Environmental Services (B2B)</t>
        </is>
      </c>
      <c r="J87" s="18" t="inlineStr">
        <is>
          <t>Environmental Services (B2B)*; Other Consumer Durables</t>
        </is>
      </c>
      <c r="K87" s="19" t="inlineStr">
        <is>
          <t>CleanTech</t>
        </is>
      </c>
      <c r="L87" s="20" t="inlineStr">
        <is>
          <t>Venture Capital-Backed</t>
        </is>
      </c>
      <c r="M87" s="21" t="n">
        <v>22.16</v>
      </c>
      <c r="N87" s="22" t="inlineStr">
        <is>
          <t>Generating Revenue</t>
        </is>
      </c>
      <c r="O87" s="23" t="inlineStr">
        <is>
          <t>Privately Held (backing)</t>
        </is>
      </c>
      <c r="P87" s="24" t="inlineStr">
        <is>
          <t>Venture Capital</t>
        </is>
      </c>
      <c r="Q87" s="25" t="inlineStr">
        <is>
          <t>www.orbital-systems.com</t>
        </is>
      </c>
      <c r="R87" s="26" t="n">
        <v>18.0</v>
      </c>
      <c r="S87" s="27" t="inlineStr">
        <is>
          <t/>
        </is>
      </c>
      <c r="T87" s="28" t="inlineStr">
        <is>
          <t/>
        </is>
      </c>
      <c r="U87" s="29" t="n">
        <v>2012.0</v>
      </c>
      <c r="V87" s="30" t="inlineStr">
        <is>
          <t/>
        </is>
      </c>
      <c r="W87" s="31" t="inlineStr">
        <is>
          <t/>
        </is>
      </c>
      <c r="X87" s="32" t="inlineStr">
        <is>
          <t/>
        </is>
      </c>
      <c r="Y87" s="33" t="n">
        <v>0.11025</v>
      </c>
      <c r="Z87" s="34" t="inlineStr">
        <is>
          <t/>
        </is>
      </c>
      <c r="AA87" s="35" t="n">
        <v>-1.95689</v>
      </c>
      <c r="AB87" s="36" t="inlineStr">
        <is>
          <t/>
        </is>
      </c>
      <c r="AC87" s="37" t="n">
        <v>-1.75477</v>
      </c>
      <c r="AD87" s="38" t="inlineStr">
        <is>
          <t>FY 2015</t>
        </is>
      </c>
      <c r="AE87" s="39" t="inlineStr">
        <is>
          <t>104934-79P</t>
        </is>
      </c>
      <c r="AF87" s="40" t="inlineStr">
        <is>
          <t>Mehrdad Mahdjoubi</t>
        </is>
      </c>
      <c r="AG87" s="41" t="inlineStr">
        <is>
          <t>Founder, Chief Executive Officer &amp; President</t>
        </is>
      </c>
      <c r="AH87" s="42" t="inlineStr">
        <is>
          <t>mehrdad@orbital-systems.com</t>
        </is>
      </c>
      <c r="AI87" s="43" t="inlineStr">
        <is>
          <t>+46 (0)4 0 619 55 55</t>
        </is>
      </c>
      <c r="AJ87" s="44" t="inlineStr">
        <is>
          <t>Malmö, Sweden</t>
        </is>
      </c>
      <c r="AK87" s="45" t="inlineStr">
        <is>
          <t>Stora Varvsgatan 6</t>
        </is>
      </c>
      <c r="AL87" s="46" t="inlineStr">
        <is>
          <t/>
        </is>
      </c>
      <c r="AM87" s="47" t="inlineStr">
        <is>
          <t>Malmö</t>
        </is>
      </c>
      <c r="AN87" s="48" t="inlineStr">
        <is>
          <t/>
        </is>
      </c>
      <c r="AO87" s="49" t="inlineStr">
        <is>
          <t>211 19</t>
        </is>
      </c>
      <c r="AP87" s="50" t="inlineStr">
        <is>
          <t>Sweden</t>
        </is>
      </c>
      <c r="AQ87" s="51" t="inlineStr">
        <is>
          <t>+46 (0)4 0 619 55 55</t>
        </is>
      </c>
      <c r="AR87" s="52" t="inlineStr">
        <is>
          <t/>
        </is>
      </c>
      <c r="AS87" s="53" t="inlineStr">
        <is>
          <t>se@orbital-systems.com</t>
        </is>
      </c>
      <c r="AT87" s="54" t="inlineStr">
        <is>
          <t>Europe</t>
        </is>
      </c>
      <c r="AU87" s="55" t="inlineStr">
        <is>
          <t>Northern Europe</t>
        </is>
      </c>
      <c r="AV87" s="56" t="inlineStr">
        <is>
          <t>The company raised GBP 15 million of Series B venture funding from Niklas Zennström, Karl-Johan Persson and the Jochnick family on April 12, 2017. Stena Ventures and Nils Idoff also participated in the round. With the round, the company has raised a total of GBP 25 million in funding to date. Previously, the company received SEK 20.6 million of grant funding from The Swedish Energy Agency on November 4, 2016.</t>
        </is>
      </c>
      <c r="AW87" s="57" t="inlineStr">
        <is>
          <t>David Epstein, Dendera Venture, Jochnick family, Karl-Johan Persson, Mårten Öbrink, Niklas Zennström, Nils Idoff, Peter Carlsson, Peter Enberg, Rosengård Invest, Stena Ventures, Swedish Energy Agency</t>
        </is>
      </c>
      <c r="AX87" s="58" t="n">
        <v>12.0</v>
      </c>
      <c r="AY87" s="59" t="inlineStr">
        <is>
          <t/>
        </is>
      </c>
      <c r="AZ87" s="60" t="inlineStr">
        <is>
          <t/>
        </is>
      </c>
      <c r="BA87" s="61" t="inlineStr">
        <is>
          <t/>
        </is>
      </c>
      <c r="BB87" s="62" t="inlineStr">
        <is>
          <t>Dendera Venture (www.dendera.se), Rosengård Invest (www.rosengardinvest.se)</t>
        </is>
      </c>
      <c r="BC87" s="63" t="inlineStr">
        <is>
          <t/>
        </is>
      </c>
      <c r="BD87" s="64" t="inlineStr">
        <is>
          <t/>
        </is>
      </c>
      <c r="BE87" s="65" t="inlineStr">
        <is>
          <t/>
        </is>
      </c>
      <c r="BF87" s="66" t="inlineStr">
        <is>
          <t/>
        </is>
      </c>
      <c r="BG87" s="67" t="inlineStr">
        <is>
          <t/>
        </is>
      </c>
      <c r="BH87" s="68" t="inlineStr">
        <is>
          <t/>
        </is>
      </c>
      <c r="BI87" s="69" t="inlineStr">
        <is>
          <t/>
        </is>
      </c>
      <c r="BJ87" s="70" t="inlineStr">
        <is>
          <t/>
        </is>
      </c>
      <c r="BK87" s="71" t="inlineStr">
        <is>
          <t/>
        </is>
      </c>
      <c r="BL87" s="72" t="inlineStr">
        <is>
          <t>Angel (individual)</t>
        </is>
      </c>
      <c r="BM87" s="73" t="inlineStr">
        <is>
          <t>Angel</t>
        </is>
      </c>
      <c r="BN87" s="74" t="inlineStr">
        <is>
          <t/>
        </is>
      </c>
      <c r="BO87" s="75" t="inlineStr">
        <is>
          <t>Individual</t>
        </is>
      </c>
      <c r="BP87" s="76" t="inlineStr">
        <is>
          <t/>
        </is>
      </c>
      <c r="BQ87" s="77" t="inlineStr">
        <is>
          <t/>
        </is>
      </c>
      <c r="BR87" s="78" t="inlineStr">
        <is>
          <t/>
        </is>
      </c>
      <c r="BS87" s="79" t="inlineStr">
        <is>
          <t>Completed</t>
        </is>
      </c>
      <c r="BT87" s="80" t="n">
        <v>42837.0</v>
      </c>
      <c r="BU87" s="81" t="n">
        <v>17.69</v>
      </c>
      <c r="BV87" s="82" t="inlineStr">
        <is>
          <t>Actual</t>
        </is>
      </c>
      <c r="BW87" s="83" t="inlineStr">
        <is>
          <t/>
        </is>
      </c>
      <c r="BX87" s="84" t="inlineStr">
        <is>
          <t/>
        </is>
      </c>
      <c r="BY87" s="85" t="inlineStr">
        <is>
          <t>Later Stage VC</t>
        </is>
      </c>
      <c r="BZ87" s="86" t="inlineStr">
        <is>
          <t>Series B</t>
        </is>
      </c>
      <c r="CA87" s="87" t="inlineStr">
        <is>
          <t/>
        </is>
      </c>
      <c r="CB87" s="88" t="inlineStr">
        <is>
          <t>Venture Capital</t>
        </is>
      </c>
      <c r="CC87" s="89" t="inlineStr">
        <is>
          <t/>
        </is>
      </c>
      <c r="CD87" s="90" t="inlineStr">
        <is>
          <t/>
        </is>
      </c>
      <c r="CE87" s="91" t="inlineStr">
        <is>
          <t/>
        </is>
      </c>
      <c r="CF87" s="92" t="inlineStr">
        <is>
          <t>Completed</t>
        </is>
      </c>
      <c r="CG87" s="93" t="inlineStr">
        <is>
          <t>-1,68%</t>
        </is>
      </c>
      <c r="CH87" s="94" t="inlineStr">
        <is>
          <t>11</t>
        </is>
      </c>
      <c r="CI87" s="95" t="inlineStr">
        <is>
          <t>-0,05%</t>
        </is>
      </c>
      <c r="CJ87" s="96" t="inlineStr">
        <is>
          <t>-3,31%</t>
        </is>
      </c>
      <c r="CK87" s="97" t="inlineStr">
        <is>
          <t>-3,75%</t>
        </is>
      </c>
      <c r="CL87" s="98" t="inlineStr">
        <is>
          <t>10</t>
        </is>
      </c>
      <c r="CM87" s="99" t="inlineStr">
        <is>
          <t>0,39%</t>
        </is>
      </c>
      <c r="CN87" s="100" t="inlineStr">
        <is>
          <t>85</t>
        </is>
      </c>
      <c r="CO87" s="101" t="inlineStr">
        <is>
          <t>-7,50%</t>
        </is>
      </c>
      <c r="CP87" s="102" t="inlineStr">
        <is>
          <t>16</t>
        </is>
      </c>
      <c r="CQ87" s="103" t="inlineStr">
        <is>
          <t>0,00%</t>
        </is>
      </c>
      <c r="CR87" s="104" t="inlineStr">
        <is>
          <t>20</t>
        </is>
      </c>
      <c r="CS87" s="105" t="inlineStr">
        <is>
          <t>0,11%</t>
        </is>
      </c>
      <c r="CT87" s="106" t="inlineStr">
        <is>
          <t>58</t>
        </is>
      </c>
      <c r="CU87" s="107" t="inlineStr">
        <is>
          <t>0,67%</t>
        </is>
      </c>
      <c r="CV87" s="108" t="inlineStr">
        <is>
          <t>94</t>
        </is>
      </c>
      <c r="CW87" s="109" t="inlineStr">
        <is>
          <t>2,74x</t>
        </is>
      </c>
      <c r="CX87" s="110" t="inlineStr">
        <is>
          <t>70</t>
        </is>
      </c>
      <c r="CY87" s="111" t="inlineStr">
        <is>
          <t>-0,01x</t>
        </is>
      </c>
      <c r="CZ87" s="112" t="inlineStr">
        <is>
          <t>-0,36%</t>
        </is>
      </c>
      <c r="DA87" s="113" t="inlineStr">
        <is>
          <t>2,61x</t>
        </is>
      </c>
      <c r="DB87" s="114" t="inlineStr">
        <is>
          <t>72</t>
        </is>
      </c>
      <c r="DC87" s="115" t="inlineStr">
        <is>
          <t>2,87x</t>
        </is>
      </c>
      <c r="DD87" s="116" t="inlineStr">
        <is>
          <t>68</t>
        </is>
      </c>
      <c r="DE87" s="117" t="inlineStr">
        <is>
          <t>4,09x</t>
        </is>
      </c>
      <c r="DF87" s="118" t="inlineStr">
        <is>
          <t>78</t>
        </is>
      </c>
      <c r="DG87" s="119" t="inlineStr">
        <is>
          <t>1,14x</t>
        </is>
      </c>
      <c r="DH87" s="120" t="inlineStr">
        <is>
          <t>53</t>
        </is>
      </c>
      <c r="DI87" s="121" t="inlineStr">
        <is>
          <t>3,74x</t>
        </is>
      </c>
      <c r="DJ87" s="122" t="inlineStr">
        <is>
          <t>71</t>
        </is>
      </c>
      <c r="DK87" s="123" t="inlineStr">
        <is>
          <t>2,00x</t>
        </is>
      </c>
      <c r="DL87" s="124" t="inlineStr">
        <is>
          <t>64</t>
        </is>
      </c>
      <c r="DM87" s="125" t="inlineStr">
        <is>
          <t>1.597</t>
        </is>
      </c>
      <c r="DN87" s="126" t="inlineStr">
        <is>
          <t>-243</t>
        </is>
      </c>
      <c r="DO87" s="127" t="inlineStr">
        <is>
          <t>-13,21%</t>
        </is>
      </c>
      <c r="DP87" s="128" t="inlineStr">
        <is>
          <t>2.965</t>
        </is>
      </c>
      <c r="DQ87" s="129" t="inlineStr">
        <is>
          <t>7</t>
        </is>
      </c>
      <c r="DR87" s="130" t="inlineStr">
        <is>
          <t>0,24%</t>
        </is>
      </c>
      <c r="DS87" s="131" t="inlineStr">
        <is>
          <t>41</t>
        </is>
      </c>
      <c r="DT87" s="132" t="inlineStr">
        <is>
          <t>0</t>
        </is>
      </c>
      <c r="DU87" s="133" t="inlineStr">
        <is>
          <t>0,00%</t>
        </is>
      </c>
      <c r="DV87" s="134" t="inlineStr">
        <is>
          <t>747</t>
        </is>
      </c>
      <c r="DW87" s="135" t="inlineStr">
        <is>
          <t>7</t>
        </is>
      </c>
      <c r="DX87" s="136" t="inlineStr">
        <is>
          <t>0,95%</t>
        </is>
      </c>
      <c r="DY87" s="137" t="inlineStr">
        <is>
          <t>PitchBook Research</t>
        </is>
      </c>
      <c r="DZ87" s="785">
        <f>HYPERLINK("https://my.pitchbook.com?c=93998-26", "View company online")</f>
      </c>
    </row>
    <row r="88">
      <c r="A88" s="139" t="inlineStr">
        <is>
          <t>58480-12</t>
        </is>
      </c>
      <c r="B88" s="140" t="inlineStr">
        <is>
          <t>inRiver</t>
        </is>
      </c>
      <c r="C88" s="141" t="inlineStr">
        <is>
          <t/>
        </is>
      </c>
      <c r="D88" s="142" t="inlineStr">
        <is>
          <t/>
        </is>
      </c>
      <c r="E88" s="143" t="inlineStr">
        <is>
          <t>58480-12</t>
        </is>
      </c>
      <c r="F88" s="144" t="inlineStr">
        <is>
          <t>Provider of a product information management platform intended to manage the product information for their globally recognized brands. The company's product information management platform collects and customises sales materials such as videos, text, and images about a product or service, and presents the information in a uniform way across all sales channels, enabling clients to create, maintain and distribute perfect product information to multiple sales channels in multiple languages.</t>
        </is>
      </c>
      <c r="G88" s="145" t="inlineStr">
        <is>
          <t>Information Technology</t>
        </is>
      </c>
      <c r="H88" s="146" t="inlineStr">
        <is>
          <t>Software</t>
        </is>
      </c>
      <c r="I88" s="147" t="inlineStr">
        <is>
          <t>Application Software</t>
        </is>
      </c>
      <c r="J88" s="148" t="inlineStr">
        <is>
          <t>Application Software*; Information Services (B2C); Business/Productivity Software</t>
        </is>
      </c>
      <c r="K88" s="149" t="inlineStr">
        <is>
          <t>Mobile</t>
        </is>
      </c>
      <c r="L88" s="150" t="inlineStr">
        <is>
          <t>Venture Capital-Backed</t>
        </is>
      </c>
      <c r="M88" s="151" t="n">
        <v>21.75</v>
      </c>
      <c r="N88" s="152" t="inlineStr">
        <is>
          <t>Generating Revenue</t>
        </is>
      </c>
      <c r="O88" s="153" t="inlineStr">
        <is>
          <t>Privately Held (backing)</t>
        </is>
      </c>
      <c r="P88" s="154" t="inlineStr">
        <is>
          <t>Venture Capital</t>
        </is>
      </c>
      <c r="Q88" s="155" t="inlineStr">
        <is>
          <t>www.inriver.com</t>
        </is>
      </c>
      <c r="R88" s="156" t="n">
        <v>88.0</v>
      </c>
      <c r="S88" s="157" t="inlineStr">
        <is>
          <t/>
        </is>
      </c>
      <c r="T88" s="158" t="inlineStr">
        <is>
          <t/>
        </is>
      </c>
      <c r="U88" s="159" t="n">
        <v>2007.0</v>
      </c>
      <c r="V88" s="160" t="inlineStr">
        <is>
          <t/>
        </is>
      </c>
      <c r="W88" s="161" t="inlineStr">
        <is>
          <t/>
        </is>
      </c>
      <c r="X88" s="162" t="inlineStr">
        <is>
          <r>
            <rPr>
              <b/>
              <color rgb="ff26854d"/>
              <rFont val="Arial"/>
              <sz val="8.0"/>
            </rPr>
            <t>Competitor</t>
          </r>
          <r>
            <rPr>
              <color rgb="ff707070"/>
              <rFont val="Arial"/>
              <sz val="7.0"/>
            </rPr>
            <t xml:space="preserve"> NEW  </t>
          </r>
          <r>
            <rPr>
              <color rgb="ff000000"/>
              <rFont val="Arial"/>
              <sz val="8.0"/>
            </rPr>
            <t>Salsify</t>
          </r>
        </is>
      </c>
      <c r="Y88" s="163" t="n">
        <v>8.37605</v>
      </c>
      <c r="Z88" s="164" t="inlineStr">
        <is>
          <t/>
        </is>
      </c>
      <c r="AA88" s="165" t="n">
        <v>-0.45532</v>
      </c>
      <c r="AB88" s="166" t="inlineStr">
        <is>
          <t/>
        </is>
      </c>
      <c r="AC88" s="167" t="n">
        <v>-0.16126</v>
      </c>
      <c r="AD88" s="168" t="inlineStr">
        <is>
          <t>FY 2016</t>
        </is>
      </c>
      <c r="AE88" s="169" t="inlineStr">
        <is>
          <t>52853-41P</t>
        </is>
      </c>
      <c r="AF88" s="170" t="inlineStr">
        <is>
          <t>Niclas Mollin</t>
        </is>
      </c>
      <c r="AG88" s="171" t="inlineStr">
        <is>
          <t>Chief Executive Officer, President &amp; Board Member</t>
        </is>
      </c>
      <c r="AH88" s="172" t="inlineStr">
        <is>
          <t>niclas.mollin@inriver.com</t>
        </is>
      </c>
      <c r="AI88" s="173" t="inlineStr">
        <is>
          <t>+46 (0)735 44 58 45</t>
        </is>
      </c>
      <c r="AJ88" s="174" t="inlineStr">
        <is>
          <t>Malmo, Sweden</t>
        </is>
      </c>
      <c r="AK88" s="175" t="inlineStr">
        <is>
          <t>Sodra Tullgatan 4</t>
        </is>
      </c>
      <c r="AL88" s="176" t="inlineStr">
        <is>
          <t/>
        </is>
      </c>
      <c r="AM88" s="177" t="inlineStr">
        <is>
          <t>Malmo</t>
        </is>
      </c>
      <c r="AN88" s="178" t="inlineStr">
        <is>
          <t/>
        </is>
      </c>
      <c r="AO88" s="179" t="inlineStr">
        <is>
          <t>211 40</t>
        </is>
      </c>
      <c r="AP88" s="180" t="inlineStr">
        <is>
          <t>Sweden</t>
        </is>
      </c>
      <c r="AQ88" s="181" t="inlineStr">
        <is>
          <t>+46 (0)40 97 38 80</t>
        </is>
      </c>
      <c r="AR88" s="182" t="inlineStr">
        <is>
          <t/>
        </is>
      </c>
      <c r="AS88" s="183" t="inlineStr">
        <is>
          <t>info@inriver.com</t>
        </is>
      </c>
      <c r="AT88" s="184" t="inlineStr">
        <is>
          <t>Europe</t>
        </is>
      </c>
      <c r="AU88" s="185" t="inlineStr">
        <is>
          <t>Northern Europe</t>
        </is>
      </c>
      <c r="AV88" s="186" t="inlineStr">
        <is>
          <t>The company raised EUR 10.5 million of venture funding from Verdane Capital, Zobito and Industrifonden on August 24, 2017. European Investment Bank also participated in the round. The company intends to use the funds to invest in research, development, and global expansion.</t>
        </is>
      </c>
      <c r="AW88" s="187" t="inlineStr">
        <is>
          <t>Industrifonden, Verdane Capital, Zobito</t>
        </is>
      </c>
      <c r="AX88" s="188" t="n">
        <v>3.0</v>
      </c>
      <c r="AY88" s="189" t="inlineStr">
        <is>
          <t/>
        </is>
      </c>
      <c r="AZ88" s="190" t="inlineStr">
        <is>
          <t/>
        </is>
      </c>
      <c r="BA88" s="191" t="inlineStr">
        <is>
          <t/>
        </is>
      </c>
      <c r="BB88" s="192" t="inlineStr">
        <is>
          <t>Industrifonden (www.industrifonden.com), Verdane Capital (www.verdanecapital.com), Zobito (www.zobito.com)</t>
        </is>
      </c>
      <c r="BC88" s="193" t="inlineStr">
        <is>
          <t/>
        </is>
      </c>
      <c r="BD88" s="194" t="inlineStr">
        <is>
          <t/>
        </is>
      </c>
      <c r="BE88" s="195" t="inlineStr">
        <is>
          <t>Aspen Worldwide (Consulting)</t>
        </is>
      </c>
      <c r="BF88" s="196" t="inlineStr">
        <is>
          <t>European Investment Bank (Debt Financing)</t>
        </is>
      </c>
      <c r="BG88" s="197" t="n">
        <v>41499.0</v>
      </c>
      <c r="BH88" s="198" t="n">
        <v>2.3</v>
      </c>
      <c r="BI88" s="199" t="inlineStr">
        <is>
          <t>Actual</t>
        </is>
      </c>
      <c r="BJ88" s="200" t="inlineStr">
        <is>
          <t/>
        </is>
      </c>
      <c r="BK88" s="201" t="inlineStr">
        <is>
          <t/>
        </is>
      </c>
      <c r="BL88" s="202" t="inlineStr">
        <is>
          <t>Later Stage VC</t>
        </is>
      </c>
      <c r="BM88" s="203" t="inlineStr">
        <is>
          <t/>
        </is>
      </c>
      <c r="BN88" s="204" t="inlineStr">
        <is>
          <t/>
        </is>
      </c>
      <c r="BO88" s="205" t="inlineStr">
        <is>
          <t>Venture Capital</t>
        </is>
      </c>
      <c r="BP88" s="206" t="inlineStr">
        <is>
          <t/>
        </is>
      </c>
      <c r="BQ88" s="207" t="inlineStr">
        <is>
          <t/>
        </is>
      </c>
      <c r="BR88" s="208" t="inlineStr">
        <is>
          <t/>
        </is>
      </c>
      <c r="BS88" s="209" t="inlineStr">
        <is>
          <t>Completed</t>
        </is>
      </c>
      <c r="BT88" s="210" t="n">
        <v>42971.0</v>
      </c>
      <c r="BU88" s="211" t="n">
        <v>10.5</v>
      </c>
      <c r="BV88" s="212" t="inlineStr">
        <is>
          <t>Actual</t>
        </is>
      </c>
      <c r="BW88" s="213" t="inlineStr">
        <is>
          <t/>
        </is>
      </c>
      <c r="BX88" s="214" t="inlineStr">
        <is>
          <t/>
        </is>
      </c>
      <c r="BY88" s="215" t="inlineStr">
        <is>
          <t>Later Stage VC</t>
        </is>
      </c>
      <c r="BZ88" s="216" t="inlineStr">
        <is>
          <t/>
        </is>
      </c>
      <c r="CA88" s="217" t="inlineStr">
        <is>
          <t/>
        </is>
      </c>
      <c r="CB88" s="218" t="inlineStr">
        <is>
          <t>Venture Capital</t>
        </is>
      </c>
      <c r="CC88" s="219" t="inlineStr">
        <is>
          <t/>
        </is>
      </c>
      <c r="CD88" s="220" t="inlineStr">
        <is>
          <t/>
        </is>
      </c>
      <c r="CE88" s="221" t="inlineStr">
        <is>
          <t/>
        </is>
      </c>
      <c r="CF88" s="222" t="inlineStr">
        <is>
          <t>Completed</t>
        </is>
      </c>
      <c r="CG88" s="223" t="inlineStr">
        <is>
          <t>-1,52%</t>
        </is>
      </c>
      <c r="CH88" s="224" t="inlineStr">
        <is>
          <t>11</t>
        </is>
      </c>
      <c r="CI88" s="225" t="inlineStr">
        <is>
          <t>-0,04%</t>
        </is>
      </c>
      <c r="CJ88" s="226" t="inlineStr">
        <is>
          <t>-2,96%</t>
        </is>
      </c>
      <c r="CK88" s="227" t="inlineStr">
        <is>
          <t>-5,07%</t>
        </is>
      </c>
      <c r="CL88" s="228" t="inlineStr">
        <is>
          <t>8</t>
        </is>
      </c>
      <c r="CM88" s="229" t="inlineStr">
        <is>
          <t>0,37%</t>
        </is>
      </c>
      <c r="CN88" s="230" t="inlineStr">
        <is>
          <t>84</t>
        </is>
      </c>
      <c r="CO88" s="231" t="inlineStr">
        <is>
          <t>-10,89%</t>
        </is>
      </c>
      <c r="CP88" s="232" t="inlineStr">
        <is>
          <t>12</t>
        </is>
      </c>
      <c r="CQ88" s="233" t="inlineStr">
        <is>
          <t>0,76%</t>
        </is>
      </c>
      <c r="CR88" s="234" t="inlineStr">
        <is>
          <t>93</t>
        </is>
      </c>
      <c r="CS88" s="235" t="inlineStr">
        <is>
          <t>0,50%</t>
        </is>
      </c>
      <c r="CT88" s="236" t="inlineStr">
        <is>
          <t>87</t>
        </is>
      </c>
      <c r="CU88" s="237" t="inlineStr">
        <is>
          <t>0,25%</t>
        </is>
      </c>
      <c r="CV88" s="238" t="inlineStr">
        <is>
          <t>80</t>
        </is>
      </c>
      <c r="CW88" s="239" t="inlineStr">
        <is>
          <t>2,76x</t>
        </is>
      </c>
      <c r="CX88" s="240" t="inlineStr">
        <is>
          <t>71</t>
        </is>
      </c>
      <c r="CY88" s="241" t="inlineStr">
        <is>
          <t>0,00x</t>
        </is>
      </c>
      <c r="CZ88" s="242" t="inlineStr">
        <is>
          <t>0,17%</t>
        </is>
      </c>
      <c r="DA88" s="243" t="inlineStr">
        <is>
          <t>6,24x</t>
        </is>
      </c>
      <c r="DB88" s="244" t="inlineStr">
        <is>
          <t>84</t>
        </is>
      </c>
      <c r="DC88" s="245" t="inlineStr">
        <is>
          <t>1,72x</t>
        </is>
      </c>
      <c r="DD88" s="246" t="inlineStr">
        <is>
          <t>59</t>
        </is>
      </c>
      <c r="DE88" s="247" t="inlineStr">
        <is>
          <t>3,42x</t>
        </is>
      </c>
      <c r="DF88" s="248" t="inlineStr">
        <is>
          <t>75</t>
        </is>
      </c>
      <c r="DG88" s="249" t="inlineStr">
        <is>
          <t>9,06x</t>
        </is>
      </c>
      <c r="DH88" s="250" t="inlineStr">
        <is>
          <t>86</t>
        </is>
      </c>
      <c r="DI88" s="251" t="inlineStr">
        <is>
          <t>0,36x</t>
        </is>
      </c>
      <c r="DJ88" s="252" t="inlineStr">
        <is>
          <t>33</t>
        </is>
      </c>
      <c r="DK88" s="253" t="inlineStr">
        <is>
          <t>3,09x</t>
        </is>
      </c>
      <c r="DL88" s="254" t="inlineStr">
        <is>
          <t>71</t>
        </is>
      </c>
      <c r="DM88" s="255" t="inlineStr">
        <is>
          <t>1.279</t>
        </is>
      </c>
      <c r="DN88" s="256" t="inlineStr">
        <is>
          <t>-59</t>
        </is>
      </c>
      <c r="DO88" s="257" t="inlineStr">
        <is>
          <t>-4,41%</t>
        </is>
      </c>
      <c r="DP88" s="258" t="inlineStr">
        <is>
          <t>283</t>
        </is>
      </c>
      <c r="DQ88" s="259" t="inlineStr">
        <is>
          <t>1</t>
        </is>
      </c>
      <c r="DR88" s="260" t="inlineStr">
        <is>
          <t>0,35%</t>
        </is>
      </c>
      <c r="DS88" s="261" t="inlineStr">
        <is>
          <t>325</t>
        </is>
      </c>
      <c r="DT88" s="262" t="inlineStr">
        <is>
          <t>2</t>
        </is>
      </c>
      <c r="DU88" s="263" t="inlineStr">
        <is>
          <t>0,62%</t>
        </is>
      </c>
      <c r="DV88" s="264" t="inlineStr">
        <is>
          <t>1.152</t>
        </is>
      </c>
      <c r="DW88" s="265" t="inlineStr">
        <is>
          <t>0</t>
        </is>
      </c>
      <c r="DX88" s="266" t="inlineStr">
        <is>
          <t>0,00%</t>
        </is>
      </c>
      <c r="DY88" s="267" t="inlineStr">
        <is>
          <t>PitchBook Research</t>
        </is>
      </c>
      <c r="DZ88" s="786">
        <f>HYPERLINK("https://my.pitchbook.com?c=58480-12", "View company online")</f>
      </c>
    </row>
    <row r="89">
      <c r="A89" s="9" t="inlineStr">
        <is>
          <t>56560-69</t>
        </is>
      </c>
      <c r="B89" s="10" t="inlineStr">
        <is>
          <t>Wandera</t>
        </is>
      </c>
      <c r="C89" s="11" t="inlineStr">
        <is>
          <t>Snappli</t>
        </is>
      </c>
      <c r="D89" s="12" t="inlineStr">
        <is>
          <t/>
        </is>
      </c>
      <c r="E89" s="13" t="inlineStr">
        <is>
          <t>56560-69</t>
        </is>
      </c>
      <c r="F89" s="14" t="inlineStr">
        <is>
          <t>Provider of enterprise mobile security and data management platform intended to offer protection against threats and manage data usage. The company's enterprise mobile security and data management platform protects data by preventing targeted mobile attacks, identifying data leaks and filtering access to risky or unapproved content as well as minimizes data costs and boost productivity, taking advantage of intelligent usage controls, insightful real-time analytics and powerful data compression, providing users with enterprise-grade threat defense against mobile security risks, and keeping devices secure across all four levels of protection.</t>
        </is>
      </c>
      <c r="G89" s="15" t="inlineStr">
        <is>
          <t>Information Technology</t>
        </is>
      </c>
      <c r="H89" s="16" t="inlineStr">
        <is>
          <t>Software</t>
        </is>
      </c>
      <c r="I89" s="17" t="inlineStr">
        <is>
          <t>Network Management Software</t>
        </is>
      </c>
      <c r="J89" s="18" t="inlineStr">
        <is>
          <t>Network Management Software*; Application Software</t>
        </is>
      </c>
      <c r="K89" s="19" t="inlineStr">
        <is>
          <t>Cybersecurity, Mobile</t>
        </is>
      </c>
      <c r="L89" s="20" t="inlineStr">
        <is>
          <t>Venture Capital-Backed</t>
        </is>
      </c>
      <c r="M89" s="21" t="n">
        <v>21.28</v>
      </c>
      <c r="N89" s="22" t="inlineStr">
        <is>
          <t>Generating Revenue</t>
        </is>
      </c>
      <c r="O89" s="23" t="inlineStr">
        <is>
          <t>Privately Held (backing)</t>
        </is>
      </c>
      <c r="P89" s="24" t="inlineStr">
        <is>
          <t>Venture Capital</t>
        </is>
      </c>
      <c r="Q89" s="25" t="inlineStr">
        <is>
          <t>www.wandera.com</t>
        </is>
      </c>
      <c r="R89" s="26" t="n">
        <v>91.0</v>
      </c>
      <c r="S89" s="27" t="inlineStr">
        <is>
          <t/>
        </is>
      </c>
      <c r="T89" s="28" t="inlineStr">
        <is>
          <t/>
        </is>
      </c>
      <c r="U89" s="29" t="n">
        <v>2012.0</v>
      </c>
      <c r="V89" s="30" t="inlineStr">
        <is>
          <t/>
        </is>
      </c>
      <c r="W89" s="31" t="inlineStr">
        <is>
          <t/>
        </is>
      </c>
      <c r="X89" s="32" t="inlineStr">
        <is>
          <t/>
        </is>
      </c>
      <c r="Y89" s="33" t="inlineStr">
        <is>
          <t/>
        </is>
      </c>
      <c r="Z89" s="34" t="inlineStr">
        <is>
          <t/>
        </is>
      </c>
      <c r="AA89" s="35" t="inlineStr">
        <is>
          <t/>
        </is>
      </c>
      <c r="AB89" s="36" t="inlineStr">
        <is>
          <t/>
        </is>
      </c>
      <c r="AC89" s="37" t="inlineStr">
        <is>
          <t/>
        </is>
      </c>
      <c r="AD89" s="38" t="inlineStr">
        <is>
          <t/>
        </is>
      </c>
      <c r="AE89" s="39" t="inlineStr">
        <is>
          <t>61345-36P</t>
        </is>
      </c>
      <c r="AF89" s="40" t="inlineStr">
        <is>
          <t>Mark Flanders</t>
        </is>
      </c>
      <c r="AG89" s="41" t="inlineStr">
        <is>
          <t>Director of Finance &amp; Secretary</t>
        </is>
      </c>
      <c r="AH89" s="42" t="inlineStr">
        <is>
          <t>mark.flanders@wandera.com</t>
        </is>
      </c>
      <c r="AI89" s="43" t="inlineStr">
        <is>
          <t>+44 (0)20 3301 2660</t>
        </is>
      </c>
      <c r="AJ89" s="44" t="inlineStr">
        <is>
          <t>London, United Kingdom</t>
        </is>
      </c>
      <c r="AK89" s="45" t="inlineStr">
        <is>
          <t>45 Mortimer Street</t>
        </is>
      </c>
      <c r="AL89" s="46" t="inlineStr">
        <is>
          <t/>
        </is>
      </c>
      <c r="AM89" s="47" t="inlineStr">
        <is>
          <t>London</t>
        </is>
      </c>
      <c r="AN89" s="48" t="inlineStr">
        <is>
          <t>England</t>
        </is>
      </c>
      <c r="AO89" s="49" t="inlineStr">
        <is>
          <t>W1W 8HJ</t>
        </is>
      </c>
      <c r="AP89" s="50" t="inlineStr">
        <is>
          <t>United Kingdom</t>
        </is>
      </c>
      <c r="AQ89" s="51" t="inlineStr">
        <is>
          <t>+44 (0)20 3301 2660</t>
        </is>
      </c>
      <c r="AR89" s="52" t="inlineStr">
        <is>
          <t/>
        </is>
      </c>
      <c r="AS89" s="53" t="inlineStr">
        <is>
          <t>info@wandera.com</t>
        </is>
      </c>
      <c r="AT89" s="54" t="inlineStr">
        <is>
          <t>Europe</t>
        </is>
      </c>
      <c r="AU89" s="55" t="inlineStr">
        <is>
          <t>Western Europe</t>
        </is>
      </c>
      <c r="AV89" s="56" t="inlineStr">
        <is>
          <t>The company raised $27.5 million of Series C venture funding through a combination of venture debt and equity in a round led by Sapphire Ventures on May 12, 2017. Bessemer Venture Partners, AccelerAsia and 83North also participated in this round. The company plans to use the new funding, which brings the total funding to $50 million, to expand its global footprint, invest in R&amp;D and data science operations in London and Israel and further develop its gateway technologies, in particular its intelligence engine, MIRIAM, designed to identify zero day threats and surface new analytic insights using a sophisticated blend of machine learning and data science techniques.</t>
        </is>
      </c>
      <c r="AW89" s="57" t="inlineStr">
        <is>
          <t>83North, AccelerAsia, Bessemer Venture Partners, Episode 1 Ventures, Individual Investor, Klaus Hommels, LocalGlobe, Sapphire Ventures</t>
        </is>
      </c>
      <c r="AX89" s="58" t="n">
        <v>8.0</v>
      </c>
      <c r="AY89" s="59" t="inlineStr">
        <is>
          <t/>
        </is>
      </c>
      <c r="AZ89" s="60" t="inlineStr">
        <is>
          <t/>
        </is>
      </c>
      <c r="BA89" s="61" t="inlineStr">
        <is>
          <t/>
        </is>
      </c>
      <c r="BB89" s="62" t="inlineStr">
        <is>
          <t>83North (www.83north.com), AccelerAsia (www.accelerasia.com), Bessemer Venture Partners (www.bvp.com), Episode 1 Ventures (www.episode1.com), LocalGlobe (www.localglobe.vc), Sapphire Ventures (www.sapphireventures.com)</t>
        </is>
      </c>
      <c r="BC89" s="63" t="inlineStr">
        <is>
          <t/>
        </is>
      </c>
      <c r="BD89" s="64" t="inlineStr">
        <is>
          <t/>
        </is>
      </c>
      <c r="BE89" s="65" t="inlineStr">
        <is>
          <t>Fenwick &amp; West (Legal Advisor)</t>
        </is>
      </c>
      <c r="BF89" s="66" t="inlineStr">
        <is>
          <t>Fenwick &amp; West (Legal Advisor)</t>
        </is>
      </c>
      <c r="BG89" s="67" t="n">
        <v>41101.0</v>
      </c>
      <c r="BH89" s="68" t="n">
        <v>0.81</v>
      </c>
      <c r="BI89" s="69" t="inlineStr">
        <is>
          <t>Actual</t>
        </is>
      </c>
      <c r="BJ89" s="70" t="n">
        <v>11.08</v>
      </c>
      <c r="BK89" s="71" t="inlineStr">
        <is>
          <t>Actual</t>
        </is>
      </c>
      <c r="BL89" s="72" t="inlineStr">
        <is>
          <t>Seed Round</t>
        </is>
      </c>
      <c r="BM89" s="73" t="inlineStr">
        <is>
          <t>Seed</t>
        </is>
      </c>
      <c r="BN89" s="74" t="inlineStr">
        <is>
          <t/>
        </is>
      </c>
      <c r="BO89" s="75" t="inlineStr">
        <is>
          <t>Individual</t>
        </is>
      </c>
      <c r="BP89" s="76" t="inlineStr">
        <is>
          <t/>
        </is>
      </c>
      <c r="BQ89" s="77" t="inlineStr">
        <is>
          <t/>
        </is>
      </c>
      <c r="BR89" s="78" t="inlineStr">
        <is>
          <t/>
        </is>
      </c>
      <c r="BS89" s="79" t="inlineStr">
        <is>
          <t>Completed</t>
        </is>
      </c>
      <c r="BT89" s="80" t="n">
        <v>42867.0</v>
      </c>
      <c r="BU89" s="81" t="n">
        <v>24.9</v>
      </c>
      <c r="BV89" s="82" t="inlineStr">
        <is>
          <t>Actual</t>
        </is>
      </c>
      <c r="BW89" s="83" t="inlineStr">
        <is>
          <t/>
        </is>
      </c>
      <c r="BX89" s="84" t="inlineStr">
        <is>
          <t/>
        </is>
      </c>
      <c r="BY89" s="85" t="inlineStr">
        <is>
          <t>Later Stage VC</t>
        </is>
      </c>
      <c r="BZ89" s="86" t="inlineStr">
        <is>
          <t>Series C</t>
        </is>
      </c>
      <c r="CA89" s="87" t="inlineStr">
        <is>
          <t/>
        </is>
      </c>
      <c r="CB89" s="88" t="inlineStr">
        <is>
          <t>Venture Capital</t>
        </is>
      </c>
      <c r="CC89" s="89" t="inlineStr">
        <is>
          <t>Other Debt</t>
        </is>
      </c>
      <c r="CD89" s="90" t="inlineStr">
        <is>
          <t/>
        </is>
      </c>
      <c r="CE89" s="91" t="inlineStr">
        <is>
          <t/>
        </is>
      </c>
      <c r="CF89" s="92" t="inlineStr">
        <is>
          <t>Completed</t>
        </is>
      </c>
      <c r="CG89" s="93" t="inlineStr">
        <is>
          <t>-0,71%</t>
        </is>
      </c>
      <c r="CH89" s="94" t="inlineStr">
        <is>
          <t>16</t>
        </is>
      </c>
      <c r="CI89" s="95" t="inlineStr">
        <is>
          <t>-0,28%</t>
        </is>
      </c>
      <c r="CJ89" s="96" t="inlineStr">
        <is>
          <t>-64,56%</t>
        </is>
      </c>
      <c r="CK89" s="97" t="inlineStr">
        <is>
          <t>-1,91%</t>
        </is>
      </c>
      <c r="CL89" s="98" t="inlineStr">
        <is>
          <t>15</t>
        </is>
      </c>
      <c r="CM89" s="99" t="inlineStr">
        <is>
          <t>0,49%</t>
        </is>
      </c>
      <c r="CN89" s="100" t="inlineStr">
        <is>
          <t>88</t>
        </is>
      </c>
      <c r="CO89" s="101" t="inlineStr">
        <is>
          <t>-7,94%</t>
        </is>
      </c>
      <c r="CP89" s="102" t="inlineStr">
        <is>
          <t>16</t>
        </is>
      </c>
      <c r="CQ89" s="103" t="inlineStr">
        <is>
          <t>4,12%</t>
        </is>
      </c>
      <c r="CR89" s="104" t="inlineStr">
        <is>
          <t>98</t>
        </is>
      </c>
      <c r="CS89" s="105" t="inlineStr">
        <is>
          <t>1,20%</t>
        </is>
      </c>
      <c r="CT89" s="106" t="inlineStr">
        <is>
          <t>96</t>
        </is>
      </c>
      <c r="CU89" s="107" t="inlineStr">
        <is>
          <t>-0,21%</t>
        </is>
      </c>
      <c r="CV89" s="108" t="inlineStr">
        <is>
          <t>3</t>
        </is>
      </c>
      <c r="CW89" s="109" t="inlineStr">
        <is>
          <t>13,45x</t>
        </is>
      </c>
      <c r="CX89" s="110" t="inlineStr">
        <is>
          <t>90</t>
        </is>
      </c>
      <c r="CY89" s="111" t="inlineStr">
        <is>
          <t>0,33x</t>
        </is>
      </c>
      <c r="CZ89" s="112" t="inlineStr">
        <is>
          <t>2,51%</t>
        </is>
      </c>
      <c r="DA89" s="113" t="inlineStr">
        <is>
          <t>24,04x</t>
        </is>
      </c>
      <c r="DB89" s="114" t="inlineStr">
        <is>
          <t>95</t>
        </is>
      </c>
      <c r="DC89" s="115" t="inlineStr">
        <is>
          <t>2,86x</t>
        </is>
      </c>
      <c r="DD89" s="116" t="inlineStr">
        <is>
          <t>68</t>
        </is>
      </c>
      <c r="DE89" s="117" t="inlineStr">
        <is>
          <t>5,38x</t>
        </is>
      </c>
      <c r="DF89" s="118" t="inlineStr">
        <is>
          <t>82</t>
        </is>
      </c>
      <c r="DG89" s="119" t="inlineStr">
        <is>
          <t>42,69x</t>
        </is>
      </c>
      <c r="DH89" s="120" t="inlineStr">
        <is>
          <t>97</t>
        </is>
      </c>
      <c r="DI89" s="121" t="inlineStr">
        <is>
          <t>0,18x</t>
        </is>
      </c>
      <c r="DJ89" s="122" t="inlineStr">
        <is>
          <t>22</t>
        </is>
      </c>
      <c r="DK89" s="123" t="inlineStr">
        <is>
          <t>5,55x</t>
        </is>
      </c>
      <c r="DL89" s="124" t="inlineStr">
        <is>
          <t>80</t>
        </is>
      </c>
      <c r="DM89" s="125" t="inlineStr">
        <is>
          <t>2.107</t>
        </is>
      </c>
      <c r="DN89" s="126" t="inlineStr">
        <is>
          <t>-563</t>
        </is>
      </c>
      <c r="DO89" s="127" t="inlineStr">
        <is>
          <t>-21,09%</t>
        </is>
      </c>
      <c r="DP89" s="128" t="inlineStr">
        <is>
          <t>143</t>
        </is>
      </c>
      <c r="DQ89" s="129" t="inlineStr">
        <is>
          <t>1</t>
        </is>
      </c>
      <c r="DR89" s="130" t="inlineStr">
        <is>
          <t>0,70%</t>
        </is>
      </c>
      <c r="DS89" s="131" t="inlineStr">
        <is>
          <t>1.516</t>
        </is>
      </c>
      <c r="DT89" s="132" t="inlineStr">
        <is>
          <t>49</t>
        </is>
      </c>
      <c r="DU89" s="133" t="inlineStr">
        <is>
          <t>3,34%</t>
        </is>
      </c>
      <c r="DV89" s="134" t="inlineStr">
        <is>
          <t>2.071</t>
        </is>
      </c>
      <c r="DW89" s="135" t="inlineStr">
        <is>
          <t>0</t>
        </is>
      </c>
      <c r="DX89" s="136" t="inlineStr">
        <is>
          <t>0,00%</t>
        </is>
      </c>
      <c r="DY89" s="137" t="inlineStr">
        <is>
          <t>PitchBook Research</t>
        </is>
      </c>
      <c r="DZ89" s="785">
        <f>HYPERLINK("https://my.pitchbook.com?c=56560-69", "View company online")</f>
      </c>
    </row>
    <row r="90">
      <c r="A90" s="139" t="inlineStr">
        <is>
          <t>57932-65</t>
        </is>
      </c>
      <c r="B90" s="140" t="inlineStr">
        <is>
          <t>Meniga</t>
        </is>
      </c>
      <c r="C90" s="141" t="inlineStr">
        <is>
          <t/>
        </is>
      </c>
      <c r="D90" s="142" t="inlineStr">
        <is>
          <t/>
        </is>
      </c>
      <c r="E90" s="143" t="inlineStr">
        <is>
          <t>57932-65</t>
        </is>
      </c>
      <c r="F90" s="144" t="inlineStr">
        <is>
          <t>Developer of a digital banking platform designed to improve the online and mobile digital banking environment. The company's digital banking platform provides a framework for next-generation digital banking around advanced data consolidation and enrichment, meaningful customer engagement and new revenue opportunities, enabling financial institutions to dramatically improve and strengthen their customers relationships.</t>
        </is>
      </c>
      <c r="G90" s="145" t="inlineStr">
        <is>
          <t>Information Technology</t>
        </is>
      </c>
      <c r="H90" s="146" t="inlineStr">
        <is>
          <t>IT Services</t>
        </is>
      </c>
      <c r="I90" s="147" t="inlineStr">
        <is>
          <t>Other IT Services</t>
        </is>
      </c>
      <c r="J90" s="148" t="inlineStr">
        <is>
          <t>Other IT Services*; Business/Productivity Software; Financial Software</t>
        </is>
      </c>
      <c r="K90" s="149" t="inlineStr">
        <is>
          <t>FinTech, Mobile, SaaS</t>
        </is>
      </c>
      <c r="L90" s="150" t="inlineStr">
        <is>
          <t>Venture Capital-Backed</t>
        </is>
      </c>
      <c r="M90" s="151" t="n">
        <v>21.17</v>
      </c>
      <c r="N90" s="152" t="inlineStr">
        <is>
          <t>Generating Revenue</t>
        </is>
      </c>
      <c r="O90" s="153" t="inlineStr">
        <is>
          <t>Privately Held (backing)</t>
        </is>
      </c>
      <c r="P90" s="154" t="inlineStr">
        <is>
          <t>Venture Capital</t>
        </is>
      </c>
      <c r="Q90" s="155" t="inlineStr">
        <is>
          <t>www.meniga.com</t>
        </is>
      </c>
      <c r="R90" s="156" t="n">
        <v>92.0</v>
      </c>
      <c r="S90" s="157" t="inlineStr">
        <is>
          <t/>
        </is>
      </c>
      <c r="T90" s="158" t="inlineStr">
        <is>
          <t/>
        </is>
      </c>
      <c r="U90" s="159" t="n">
        <v>2009.0</v>
      </c>
      <c r="V90" s="160" t="inlineStr">
        <is>
          <t/>
        </is>
      </c>
      <c r="W90" s="161" t="inlineStr">
        <is>
          <t/>
        </is>
      </c>
      <c r="X90" s="162" t="inlineStr">
        <is>
          <r>
            <rPr>
              <b/>
              <color rgb="ff26854d"/>
              <rFont val="Arial"/>
              <sz val="8.0"/>
            </rPr>
            <t>News</t>
          </r>
          <r>
            <rPr>
              <color rgb="ff707070"/>
              <rFont val="Arial"/>
              <sz val="7.0"/>
            </rPr>
            <t xml:space="preserve"> NEW  </t>
          </r>
        </is>
      </c>
      <c r="Y90" s="163" t="n">
        <v>4.21697</v>
      </c>
      <c r="Z90" s="164" t="inlineStr">
        <is>
          <t/>
        </is>
      </c>
      <c r="AA90" s="165" t="inlineStr">
        <is>
          <t/>
        </is>
      </c>
      <c r="AB90" s="166" t="inlineStr">
        <is>
          <t/>
        </is>
      </c>
      <c r="AC90" s="167" t="n">
        <v>-6.1463</v>
      </c>
      <c r="AD90" s="168" t="inlineStr">
        <is>
          <t>FY 2015</t>
        </is>
      </c>
      <c r="AE90" s="169" t="inlineStr">
        <is>
          <t>141171-13P</t>
        </is>
      </c>
      <c r="AF90" s="170" t="inlineStr">
        <is>
          <t>Benedikt Einarsson</t>
        </is>
      </c>
      <c r="AG90" s="171" t="inlineStr">
        <is>
          <t>Chief Financial Officer</t>
        </is>
      </c>
      <c r="AH90" s="172" t="inlineStr">
        <is>
          <t>benedikt@meniga.com</t>
        </is>
      </c>
      <c r="AI90" s="173" t="inlineStr">
        <is>
          <t>+44 (0)20 3865 2663</t>
        </is>
      </c>
      <c r="AJ90" s="174" t="inlineStr">
        <is>
          <t>London, United Kingdom</t>
        </is>
      </c>
      <c r="AK90" s="175" t="inlineStr">
        <is>
          <t>3 Waterhouse Square</t>
        </is>
      </c>
      <c r="AL90" s="176" t="inlineStr">
        <is>
          <t>138 Holborn</t>
        </is>
      </c>
      <c r="AM90" s="177" t="inlineStr">
        <is>
          <t>London</t>
        </is>
      </c>
      <c r="AN90" s="178" t="inlineStr">
        <is>
          <t>England</t>
        </is>
      </c>
      <c r="AO90" s="179" t="inlineStr">
        <is>
          <t>EC1N 2SW</t>
        </is>
      </c>
      <c r="AP90" s="180" t="inlineStr">
        <is>
          <t>United Kingdom</t>
        </is>
      </c>
      <c r="AQ90" s="181" t="inlineStr">
        <is>
          <t>+44 (0)20 3865 2663</t>
        </is>
      </c>
      <c r="AR90" s="182" t="inlineStr">
        <is>
          <t/>
        </is>
      </c>
      <c r="AS90" s="183" t="inlineStr">
        <is>
          <t>meniga@meniga.co.uk</t>
        </is>
      </c>
      <c r="AT90" s="184" t="inlineStr">
        <is>
          <t>Europe</t>
        </is>
      </c>
      <c r="AU90" s="185" t="inlineStr">
        <is>
          <t>Western Europe</t>
        </is>
      </c>
      <c r="AV90" s="186" t="inlineStr">
        <is>
          <t>The company raised EUR 7.5 million of venture funding in a deal led by Industrifonden on April 7, 2017. Velocity Capital, Frumtak Ventures and Kjolfesta also participated in the round. The funds will be used for continued investment in research and development, as well as for strengthening the sales team.</t>
        </is>
      </c>
      <c r="AW90" s="187" t="inlineStr">
        <is>
          <t>Crealogix Holding, Frumtak Ventures, Industrifonden, Investa, Kjolfesta, SUP46, Velocity Capital Private Equity</t>
        </is>
      </c>
      <c r="AX90" s="188" t="n">
        <v>7.0</v>
      </c>
      <c r="AY90" s="189" t="inlineStr">
        <is>
          <t/>
        </is>
      </c>
      <c r="AZ90" s="190" t="inlineStr">
        <is>
          <t/>
        </is>
      </c>
      <c r="BA90" s="191" t="inlineStr">
        <is>
          <t/>
        </is>
      </c>
      <c r="BB90" s="192" t="inlineStr">
        <is>
          <t>Crealogix Holding (www.crealogix.com), Frumtak Ventures (www.frumtak.is), Industrifonden (www.industrifonden.com), Investa (www.investa.is), SUP46 (www.SUP46.com), Velocity Capital Private Equity (www.velocitycapital-pe.com)</t>
        </is>
      </c>
      <c r="BC90" s="193" t="inlineStr">
        <is>
          <t/>
        </is>
      </c>
      <c r="BD90" s="194" t="inlineStr">
        <is>
          <t/>
        </is>
      </c>
      <c r="BE90" s="195" t="inlineStr">
        <is>
          <t/>
        </is>
      </c>
      <c r="BF90" s="196" t="inlineStr">
        <is>
          <t>Icora Partners (Advisor: General)</t>
        </is>
      </c>
      <c r="BG90" s="197" t="n">
        <v>40179.0</v>
      </c>
      <c r="BH90" s="198" t="n">
        <v>1.4</v>
      </c>
      <c r="BI90" s="199" t="inlineStr">
        <is>
          <t>Actual</t>
        </is>
      </c>
      <c r="BJ90" s="200" t="inlineStr">
        <is>
          <t/>
        </is>
      </c>
      <c r="BK90" s="201" t="inlineStr">
        <is>
          <t/>
        </is>
      </c>
      <c r="BL90" s="202" t="inlineStr">
        <is>
          <t>Seed Round</t>
        </is>
      </c>
      <c r="BM90" s="203" t="inlineStr">
        <is>
          <t>Seed</t>
        </is>
      </c>
      <c r="BN90" s="204" t="inlineStr">
        <is>
          <t/>
        </is>
      </c>
      <c r="BO90" s="205" t="inlineStr">
        <is>
          <t>Venture Capital</t>
        </is>
      </c>
      <c r="BP90" s="206" t="inlineStr">
        <is>
          <t/>
        </is>
      </c>
      <c r="BQ90" s="207" t="inlineStr">
        <is>
          <t/>
        </is>
      </c>
      <c r="BR90" s="208" t="inlineStr">
        <is>
          <t/>
        </is>
      </c>
      <c r="BS90" s="209" t="inlineStr">
        <is>
          <t>Completed</t>
        </is>
      </c>
      <c r="BT90" s="210" t="n">
        <v>42832.0</v>
      </c>
      <c r="BU90" s="211" t="n">
        <v>7.5</v>
      </c>
      <c r="BV90" s="212" t="inlineStr">
        <is>
          <t>Actual</t>
        </is>
      </c>
      <c r="BW90" s="213" t="inlineStr">
        <is>
          <t/>
        </is>
      </c>
      <c r="BX90" s="214" t="inlineStr">
        <is>
          <t/>
        </is>
      </c>
      <c r="BY90" s="215" t="inlineStr">
        <is>
          <t>Later Stage VC</t>
        </is>
      </c>
      <c r="BZ90" s="216" t="inlineStr">
        <is>
          <t/>
        </is>
      </c>
      <c r="CA90" s="217" t="inlineStr">
        <is>
          <t/>
        </is>
      </c>
      <c r="CB90" s="218" t="inlineStr">
        <is>
          <t>Venture Capital</t>
        </is>
      </c>
      <c r="CC90" s="219" t="inlineStr">
        <is>
          <t/>
        </is>
      </c>
      <c r="CD90" s="220" t="inlineStr">
        <is>
          <t/>
        </is>
      </c>
      <c r="CE90" s="221" t="inlineStr">
        <is>
          <t/>
        </is>
      </c>
      <c r="CF90" s="222" t="inlineStr">
        <is>
          <t>Completed</t>
        </is>
      </c>
      <c r="CG90" s="223" t="inlineStr">
        <is>
          <t>0,09%</t>
        </is>
      </c>
      <c r="CH90" s="224" t="inlineStr">
        <is>
          <t>82</t>
        </is>
      </c>
      <c r="CI90" s="225" t="inlineStr">
        <is>
          <t>0,08%</t>
        </is>
      </c>
      <c r="CJ90" s="226" t="inlineStr">
        <is>
          <t>2.995,08%</t>
        </is>
      </c>
      <c r="CK90" s="227" t="inlineStr">
        <is>
          <t>-0,33%</t>
        </is>
      </c>
      <c r="CL90" s="228" t="inlineStr">
        <is>
          <t>25</t>
        </is>
      </c>
      <c r="CM90" s="229" t="inlineStr">
        <is>
          <t>0,59%</t>
        </is>
      </c>
      <c r="CN90" s="230" t="inlineStr">
        <is>
          <t>91</t>
        </is>
      </c>
      <c r="CO90" s="231" t="inlineStr">
        <is>
          <t>0,00%</t>
        </is>
      </c>
      <c r="CP90" s="232" t="inlineStr">
        <is>
          <t>37</t>
        </is>
      </c>
      <c r="CQ90" s="233" t="inlineStr">
        <is>
          <t>-0,66%</t>
        </is>
      </c>
      <c r="CR90" s="234" t="inlineStr">
        <is>
          <t>14</t>
        </is>
      </c>
      <c r="CS90" s="235" t="inlineStr">
        <is>
          <t>0,90%</t>
        </is>
      </c>
      <c r="CT90" s="236" t="inlineStr">
        <is>
          <t>94</t>
        </is>
      </c>
      <c r="CU90" s="237" t="inlineStr">
        <is>
          <t>0,28%</t>
        </is>
      </c>
      <c r="CV90" s="238" t="inlineStr">
        <is>
          <t>82</t>
        </is>
      </c>
      <c r="CW90" s="239" t="inlineStr">
        <is>
          <t>2,20x</t>
        </is>
      </c>
      <c r="CX90" s="240" t="inlineStr">
        <is>
          <t>66</t>
        </is>
      </c>
      <c r="CY90" s="241" t="inlineStr">
        <is>
          <t>-0,01x</t>
        </is>
      </c>
      <c r="CZ90" s="242" t="inlineStr">
        <is>
          <t>-0,44%</t>
        </is>
      </c>
      <c r="DA90" s="243" t="inlineStr">
        <is>
          <t>3,65x</t>
        </is>
      </c>
      <c r="DB90" s="244" t="inlineStr">
        <is>
          <t>77</t>
        </is>
      </c>
      <c r="DC90" s="245" t="inlineStr">
        <is>
          <t>2,53x</t>
        </is>
      </c>
      <c r="DD90" s="246" t="inlineStr">
        <is>
          <t>66</t>
        </is>
      </c>
      <c r="DE90" s="247" t="inlineStr">
        <is>
          <t>0,17x</t>
        </is>
      </c>
      <c r="DF90" s="248" t="inlineStr">
        <is>
          <t>9</t>
        </is>
      </c>
      <c r="DG90" s="249" t="inlineStr">
        <is>
          <t>7,14x</t>
        </is>
      </c>
      <c r="DH90" s="250" t="inlineStr">
        <is>
          <t>83</t>
        </is>
      </c>
      <c r="DI90" s="251" t="inlineStr">
        <is>
          <t>0,33x</t>
        </is>
      </c>
      <c r="DJ90" s="252" t="inlineStr">
        <is>
          <t>32</t>
        </is>
      </c>
      <c r="DK90" s="253" t="inlineStr">
        <is>
          <t>4,72x</t>
        </is>
      </c>
      <c r="DL90" s="254" t="inlineStr">
        <is>
          <t>78</t>
        </is>
      </c>
      <c r="DM90" s="255" t="inlineStr">
        <is>
          <t>70</t>
        </is>
      </c>
      <c r="DN90" s="256" t="inlineStr">
        <is>
          <t>-35</t>
        </is>
      </c>
      <c r="DO90" s="257" t="inlineStr">
        <is>
          <t>-33,33%</t>
        </is>
      </c>
      <c r="DP90" s="258" t="inlineStr">
        <is>
          <t>263</t>
        </is>
      </c>
      <c r="DQ90" s="259" t="inlineStr">
        <is>
          <t>7</t>
        </is>
      </c>
      <c r="DR90" s="260" t="inlineStr">
        <is>
          <t>2,73%</t>
        </is>
      </c>
      <c r="DS90" s="261" t="inlineStr">
        <is>
          <t>257</t>
        </is>
      </c>
      <c r="DT90" s="262" t="inlineStr">
        <is>
          <t>-2</t>
        </is>
      </c>
      <c r="DU90" s="263" t="inlineStr">
        <is>
          <t>-0,77%</t>
        </is>
      </c>
      <c r="DV90" s="264" t="inlineStr">
        <is>
          <t>1.764</t>
        </is>
      </c>
      <c r="DW90" s="265" t="inlineStr">
        <is>
          <t>8</t>
        </is>
      </c>
      <c r="DX90" s="266" t="inlineStr">
        <is>
          <t>0,46%</t>
        </is>
      </c>
      <c r="DY90" s="267" t="inlineStr">
        <is>
          <t>PitchBook Research</t>
        </is>
      </c>
      <c r="DZ90" s="786">
        <f>HYPERLINK("https://my.pitchbook.com?c=57932-65", "View company online")</f>
      </c>
    </row>
    <row r="91">
      <c r="A91" s="9" t="inlineStr">
        <is>
          <t>51722-20</t>
        </is>
      </c>
      <c r="B91" s="10" t="inlineStr">
        <is>
          <t>MIRACL</t>
        </is>
      </c>
      <c r="C91" s="11" t="inlineStr">
        <is>
          <t>CertiVox</t>
        </is>
      </c>
      <c r="D91" s="12" t="inlineStr">
        <is>
          <t/>
        </is>
      </c>
      <c r="E91" s="13" t="inlineStr">
        <is>
          <t>51722-20</t>
        </is>
      </c>
      <c r="F91" s="14" t="inlineStr">
        <is>
          <t>Developer of SaaS-based information security infrastructure and encryption software designed to secure people, applications and things needed to run a digital business. The company's encryption based software offers simple and secure cloud-ready cryptographic products, technologies and services that only requires access to the users email account, enabling enterprises to protect their employees, clients and technology with strong multi-factor authentication with no more data breaches.</t>
        </is>
      </c>
      <c r="G91" s="15" t="inlineStr">
        <is>
          <t>Information Technology</t>
        </is>
      </c>
      <c r="H91" s="16" t="inlineStr">
        <is>
          <t>Software</t>
        </is>
      </c>
      <c r="I91" s="17" t="inlineStr">
        <is>
          <t>Network Management Software</t>
        </is>
      </c>
      <c r="J91" s="18" t="inlineStr">
        <is>
          <t>Network Management Software*</t>
        </is>
      </c>
      <c r="K91" s="19" t="inlineStr">
        <is>
          <t>Cybersecurity, SaaS</t>
        </is>
      </c>
      <c r="L91" s="20" t="inlineStr">
        <is>
          <t>Venture Capital-Backed</t>
        </is>
      </c>
      <c r="M91" s="21" t="n">
        <v>20.92</v>
      </c>
      <c r="N91" s="22" t="inlineStr">
        <is>
          <t>Generating Revenue</t>
        </is>
      </c>
      <c r="O91" s="23" t="inlineStr">
        <is>
          <t>Privately Held (backing)</t>
        </is>
      </c>
      <c r="P91" s="24" t="inlineStr">
        <is>
          <t>Venture Capital</t>
        </is>
      </c>
      <c r="Q91" s="25" t="inlineStr">
        <is>
          <t>www.miracl.com</t>
        </is>
      </c>
      <c r="R91" s="26" t="n">
        <v>41.0</v>
      </c>
      <c r="S91" s="27" t="inlineStr">
        <is>
          <t/>
        </is>
      </c>
      <c r="T91" s="28" t="inlineStr">
        <is>
          <t/>
        </is>
      </c>
      <c r="U91" s="29" t="n">
        <v>2008.0</v>
      </c>
      <c r="V91" s="30" t="inlineStr">
        <is>
          <t/>
        </is>
      </c>
      <c r="W91" s="31" t="inlineStr">
        <is>
          <t/>
        </is>
      </c>
      <c r="X91" s="32" t="inlineStr">
        <is>
          <t/>
        </is>
      </c>
      <c r="Y91" s="33" t="inlineStr">
        <is>
          <t/>
        </is>
      </c>
      <c r="Z91" s="34" t="inlineStr">
        <is>
          <t/>
        </is>
      </c>
      <c r="AA91" s="35" t="inlineStr">
        <is>
          <t/>
        </is>
      </c>
      <c r="AB91" s="36" t="inlineStr">
        <is>
          <t/>
        </is>
      </c>
      <c r="AC91" s="37" t="inlineStr">
        <is>
          <t/>
        </is>
      </c>
      <c r="AD91" s="38" t="inlineStr">
        <is>
          <t>FY 2015</t>
        </is>
      </c>
      <c r="AE91" s="39" t="inlineStr">
        <is>
          <t>36835-84P</t>
        </is>
      </c>
      <c r="AF91" s="40" t="inlineStr">
        <is>
          <t>Brian Spector</t>
        </is>
      </c>
      <c r="AG91" s="41" t="inlineStr">
        <is>
          <t>Co-Founder, Advisor, Chief Executive Officer &amp; Board Member</t>
        </is>
      </c>
      <c r="AH91" s="42" t="inlineStr">
        <is>
          <t>brian.spector@miracl.com</t>
        </is>
      </c>
      <c r="AI91" s="43" t="inlineStr">
        <is>
          <t>+44 (0)20 3389 8190</t>
        </is>
      </c>
      <c r="AJ91" s="44" t="inlineStr">
        <is>
          <t>London, United Kingdom</t>
        </is>
      </c>
      <c r="AK91" s="45" t="inlineStr">
        <is>
          <t>81 Rivington Street</t>
        </is>
      </c>
      <c r="AL91" s="46" t="inlineStr">
        <is>
          <t/>
        </is>
      </c>
      <c r="AM91" s="47" t="inlineStr">
        <is>
          <t>London</t>
        </is>
      </c>
      <c r="AN91" s="48" t="inlineStr">
        <is>
          <t>England</t>
        </is>
      </c>
      <c r="AO91" s="49" t="inlineStr">
        <is>
          <t>EC2A 3AY</t>
        </is>
      </c>
      <c r="AP91" s="50" t="inlineStr">
        <is>
          <t>United Kingdom</t>
        </is>
      </c>
      <c r="AQ91" s="51" t="inlineStr">
        <is>
          <t>+44 (0)20 3389 8190</t>
        </is>
      </c>
      <c r="AR91" s="52" t="inlineStr">
        <is>
          <t/>
        </is>
      </c>
      <c r="AS91" s="53" t="inlineStr">
        <is>
          <t/>
        </is>
      </c>
      <c r="AT91" s="54" t="inlineStr">
        <is>
          <t>Europe</t>
        </is>
      </c>
      <c r="AU91" s="55" t="inlineStr">
        <is>
          <t>Western Europe</t>
        </is>
      </c>
      <c r="AV91" s="56" t="inlineStr">
        <is>
          <t>The company joined Plug and Play Tech Center as part of the First Batch and received an undisclosed amount in funding. Previously, the company raised GBP 7.75 million of Series A venture funding from Octopus Ventures and other undisclosed investors on April 24, 2017.</t>
        </is>
      </c>
      <c r="AW91" s="57" t="inlineStr">
        <is>
          <t>Boundary Capital, NTT Docomo Ventures, Octopus Ventures, Paladin Capital Group, Pentech Ventures, Plug and Play Tech Center</t>
        </is>
      </c>
      <c r="AX91" s="58" t="n">
        <v>6.0</v>
      </c>
      <c r="AY91" s="59" t="inlineStr">
        <is>
          <t/>
        </is>
      </c>
      <c r="AZ91" s="60" t="inlineStr">
        <is>
          <t/>
        </is>
      </c>
      <c r="BA91" s="61" t="inlineStr">
        <is>
          <t/>
        </is>
      </c>
      <c r="BB91" s="62" t="inlineStr">
        <is>
          <t>Boundary Capital (www.boundarycapital.com), NTT Docomo Ventures (www.nttdocomo-v.com), Octopus Ventures (www.octopusventures.com), Paladin Capital Group (www.paladincapgroup.com), Pentech Ventures (www.pentech.vc), Plug and Play Tech Center (www.plugandplaytechcenter.com)</t>
        </is>
      </c>
      <c r="BC91" s="63" t="inlineStr">
        <is>
          <t/>
        </is>
      </c>
      <c r="BD91" s="64" t="inlineStr">
        <is>
          <t/>
        </is>
      </c>
      <c r="BE91" s="65" t="inlineStr">
        <is>
          <t>Shoosmiths (Legal Advisor), Calibre One (Consulting)</t>
        </is>
      </c>
      <c r="BF91" s="66" t="inlineStr">
        <is>
          <t>Shoosmiths (Legal Advisor)</t>
        </is>
      </c>
      <c r="BG91" s="67" t="n">
        <v>40244.0</v>
      </c>
      <c r="BH91" s="68" t="n">
        <v>0.18</v>
      </c>
      <c r="BI91" s="69" t="inlineStr">
        <is>
          <t>Actual</t>
        </is>
      </c>
      <c r="BJ91" s="70" t="inlineStr">
        <is>
          <t/>
        </is>
      </c>
      <c r="BK91" s="71" t="inlineStr">
        <is>
          <t/>
        </is>
      </c>
      <c r="BL91" s="72" t="inlineStr">
        <is>
          <t>Seed Round</t>
        </is>
      </c>
      <c r="BM91" s="73" t="inlineStr">
        <is>
          <t>Seed</t>
        </is>
      </c>
      <c r="BN91" s="74" t="inlineStr">
        <is>
          <t/>
        </is>
      </c>
      <c r="BO91" s="75" t="inlineStr">
        <is>
          <t>Venture Capital</t>
        </is>
      </c>
      <c r="BP91" s="76" t="inlineStr">
        <is>
          <t/>
        </is>
      </c>
      <c r="BQ91" s="77" t="inlineStr">
        <is>
          <t/>
        </is>
      </c>
      <c r="BR91" s="78" t="inlineStr">
        <is>
          <t/>
        </is>
      </c>
      <c r="BS91" s="79" t="inlineStr">
        <is>
          <t>Completed</t>
        </is>
      </c>
      <c r="BT91" s="80" t="n">
        <v>42853.0</v>
      </c>
      <c r="BU91" s="81" t="inlineStr">
        <is>
          <t/>
        </is>
      </c>
      <c r="BV91" s="82" t="inlineStr">
        <is>
          <t/>
        </is>
      </c>
      <c r="BW91" s="83" t="inlineStr">
        <is>
          <t/>
        </is>
      </c>
      <c r="BX91" s="84" t="inlineStr">
        <is>
          <t/>
        </is>
      </c>
      <c r="BY91" s="85" t="inlineStr">
        <is>
          <t>Accelerator/Incubator</t>
        </is>
      </c>
      <c r="BZ91" s="86" t="inlineStr">
        <is>
          <t/>
        </is>
      </c>
      <c r="CA91" s="87" t="inlineStr">
        <is>
          <t/>
        </is>
      </c>
      <c r="CB91" s="88" t="inlineStr">
        <is>
          <t>Other</t>
        </is>
      </c>
      <c r="CC91" s="89" t="inlineStr">
        <is>
          <t/>
        </is>
      </c>
      <c r="CD91" s="90" t="inlineStr">
        <is>
          <t/>
        </is>
      </c>
      <c r="CE91" s="91" t="inlineStr">
        <is>
          <t/>
        </is>
      </c>
      <c r="CF91" s="92" t="inlineStr">
        <is>
          <t>Completed</t>
        </is>
      </c>
      <c r="CG91" s="93" t="inlineStr">
        <is>
          <t>-1,64%</t>
        </is>
      </c>
      <c r="CH91" s="94" t="inlineStr">
        <is>
          <t>11</t>
        </is>
      </c>
      <c r="CI91" s="95" t="inlineStr">
        <is>
          <t>0,00%</t>
        </is>
      </c>
      <c r="CJ91" s="96" t="inlineStr">
        <is>
          <t>0,11%</t>
        </is>
      </c>
      <c r="CK91" s="97" t="inlineStr">
        <is>
          <t>-3,26%</t>
        </is>
      </c>
      <c r="CL91" s="98" t="inlineStr">
        <is>
          <t>11</t>
        </is>
      </c>
      <c r="CM91" s="99" t="inlineStr">
        <is>
          <t>-0,02%</t>
        </is>
      </c>
      <c r="CN91" s="100" t="inlineStr">
        <is>
          <t>15</t>
        </is>
      </c>
      <c r="CO91" s="101" t="inlineStr">
        <is>
          <t>-3,26%</t>
        </is>
      </c>
      <c r="CP91" s="102" t="inlineStr">
        <is>
          <t>26</t>
        </is>
      </c>
      <c r="CQ91" s="103" t="inlineStr">
        <is>
          <t/>
        </is>
      </c>
      <c r="CR91" s="104" t="inlineStr">
        <is>
          <t/>
        </is>
      </c>
      <c r="CS91" s="105" t="inlineStr">
        <is>
          <t/>
        </is>
      </c>
      <c r="CT91" s="106" t="inlineStr">
        <is>
          <t/>
        </is>
      </c>
      <c r="CU91" s="107" t="inlineStr">
        <is>
          <t>-0,02%</t>
        </is>
      </c>
      <c r="CV91" s="108" t="inlineStr">
        <is>
          <t>19</t>
        </is>
      </c>
      <c r="CW91" s="109" t="inlineStr">
        <is>
          <t>4,83x</t>
        </is>
      </c>
      <c r="CX91" s="110" t="inlineStr">
        <is>
          <t>79</t>
        </is>
      </c>
      <c r="CY91" s="111" t="inlineStr">
        <is>
          <t>-0,06x</t>
        </is>
      </c>
      <c r="CZ91" s="112" t="inlineStr">
        <is>
          <t>-1,14%</t>
        </is>
      </c>
      <c r="DA91" s="113" t="inlineStr">
        <is>
          <t>0,83x</t>
        </is>
      </c>
      <c r="DB91" s="114" t="inlineStr">
        <is>
          <t>46</t>
        </is>
      </c>
      <c r="DC91" s="115" t="inlineStr">
        <is>
          <t>8,82x</t>
        </is>
      </c>
      <c r="DD91" s="116" t="inlineStr">
        <is>
          <t>83</t>
        </is>
      </c>
      <c r="DE91" s="117" t="inlineStr">
        <is>
          <t>0,83x</t>
        </is>
      </c>
      <c r="DF91" s="118" t="inlineStr">
        <is>
          <t>46</t>
        </is>
      </c>
      <c r="DG91" s="119" t="inlineStr">
        <is>
          <t/>
        </is>
      </c>
      <c r="DH91" s="120" t="inlineStr">
        <is>
          <t/>
        </is>
      </c>
      <c r="DI91" s="121" t="inlineStr">
        <is>
          <t/>
        </is>
      </c>
      <c r="DJ91" s="122" t="inlineStr">
        <is>
          <t/>
        </is>
      </c>
      <c r="DK91" s="123" t="inlineStr">
        <is>
          <t>8,82x</t>
        </is>
      </c>
      <c r="DL91" s="124" t="inlineStr">
        <is>
          <t>86</t>
        </is>
      </c>
      <c r="DM91" s="125" t="inlineStr">
        <is>
          <t>304</t>
        </is>
      </c>
      <c r="DN91" s="126" t="inlineStr">
        <is>
          <t>16</t>
        </is>
      </c>
      <c r="DO91" s="127" t="inlineStr">
        <is>
          <t>5,56%</t>
        </is>
      </c>
      <c r="DP91" s="128" t="inlineStr">
        <is>
          <t/>
        </is>
      </c>
      <c r="DQ91" s="129" t="inlineStr">
        <is>
          <t/>
        </is>
      </c>
      <c r="DR91" s="130" t="inlineStr">
        <is>
          <t/>
        </is>
      </c>
      <c r="DS91" s="131" t="inlineStr">
        <is>
          <t/>
        </is>
      </c>
      <c r="DT91" s="132" t="inlineStr">
        <is>
          <t/>
        </is>
      </c>
      <c r="DU91" s="133" t="inlineStr">
        <is>
          <t/>
        </is>
      </c>
      <c r="DV91" s="134" t="inlineStr">
        <is>
          <t>3.301</t>
        </is>
      </c>
      <c r="DW91" s="135" t="inlineStr">
        <is>
          <t>-6</t>
        </is>
      </c>
      <c r="DX91" s="136" t="inlineStr">
        <is>
          <t>-0,18%</t>
        </is>
      </c>
      <c r="DY91" s="137" t="inlineStr">
        <is>
          <t>PitchBook Research</t>
        </is>
      </c>
      <c r="DZ91" s="785">
        <f>HYPERLINK("https://my.pitchbook.com?c=51722-20", "View company online")</f>
      </c>
    </row>
    <row r="92">
      <c r="A92" s="139" t="inlineStr">
        <is>
          <t>86741-74</t>
        </is>
      </c>
      <c r="B92" s="140" t="inlineStr">
        <is>
          <t>Ecrebo</t>
        </is>
      </c>
      <c r="C92" s="141" t="inlineStr">
        <is>
          <t/>
        </is>
      </c>
      <c r="D92" s="142" t="inlineStr">
        <is>
          <t/>
        </is>
      </c>
      <c r="E92" s="143" t="inlineStr">
        <is>
          <t>86741-74</t>
        </is>
      </c>
      <c r="F92" s="144" t="inlineStr">
        <is>
          <t>Developer of a Point-of-Sale marketing platform designed to help retailers transform their point of sale into a powerful marketing channel. The company's POS-based technology allows retailers to run proof of concept trials in controlled locations to establish a business case before full deployment and opens a marketing channel with unparalleled reach and precision, enabling them to deliver targeted marketing communication, specifically tailored to their customers.</t>
        </is>
      </c>
      <c r="G92" s="145" t="inlineStr">
        <is>
          <t>Information Technology</t>
        </is>
      </c>
      <c r="H92" s="146" t="inlineStr">
        <is>
          <t>Software</t>
        </is>
      </c>
      <c r="I92" s="147" t="inlineStr">
        <is>
          <t>Business/Productivity Software</t>
        </is>
      </c>
      <c r="J92" s="148" t="inlineStr">
        <is>
          <t>Business/Productivity Software*</t>
        </is>
      </c>
      <c r="K92" s="149" t="inlineStr">
        <is>
          <t>Marketing Tech</t>
        </is>
      </c>
      <c r="L92" s="150" t="inlineStr">
        <is>
          <t>Venture Capital-Backed</t>
        </is>
      </c>
      <c r="M92" s="151" t="n">
        <v>20.54</v>
      </c>
      <c r="N92" s="152" t="inlineStr">
        <is>
          <t>Profitable</t>
        </is>
      </c>
      <c r="O92" s="153" t="inlineStr">
        <is>
          <t>Privately Held (backing)</t>
        </is>
      </c>
      <c r="P92" s="154" t="inlineStr">
        <is>
          <t>Venture Capital</t>
        </is>
      </c>
      <c r="Q92" s="155" t="inlineStr">
        <is>
          <t>www.ecrebo.com</t>
        </is>
      </c>
      <c r="R92" s="156" t="n">
        <v>33.0</v>
      </c>
      <c r="S92" s="157" t="inlineStr">
        <is>
          <t/>
        </is>
      </c>
      <c r="T92" s="158" t="inlineStr">
        <is>
          <t/>
        </is>
      </c>
      <c r="U92" s="159" t="n">
        <v>2010.0</v>
      </c>
      <c r="V92" s="160" t="inlineStr">
        <is>
          <t/>
        </is>
      </c>
      <c r="W92" s="161" t="inlineStr">
        <is>
          <t/>
        </is>
      </c>
      <c r="X92" s="162" t="inlineStr">
        <is>
          <t/>
        </is>
      </c>
      <c r="Y92" s="163" t="inlineStr">
        <is>
          <t/>
        </is>
      </c>
      <c r="Z92" s="164" t="inlineStr">
        <is>
          <t/>
        </is>
      </c>
      <c r="AA92" s="165" t="inlineStr">
        <is>
          <t/>
        </is>
      </c>
      <c r="AB92" s="166" t="inlineStr">
        <is>
          <t/>
        </is>
      </c>
      <c r="AC92" s="167" t="inlineStr">
        <is>
          <t/>
        </is>
      </c>
      <c r="AD92" s="168" t="inlineStr">
        <is>
          <t>FY 2015</t>
        </is>
      </c>
      <c r="AE92" s="169" t="inlineStr">
        <is>
          <t>86447-80P</t>
        </is>
      </c>
      <c r="AF92" s="170" t="inlineStr">
        <is>
          <t>Hassan Hajji</t>
        </is>
      </c>
      <c r="AG92" s="171" t="inlineStr">
        <is>
          <t>Co-Founder, Board Member &amp; Chief Product Officer</t>
        </is>
      </c>
      <c r="AH92" s="172" t="inlineStr">
        <is>
          <t>hassan.hajji@ecrebo.com</t>
        </is>
      </c>
      <c r="AI92" s="173" t="inlineStr">
        <is>
          <t>+44 (0)11 8925 5195</t>
        </is>
      </c>
      <c r="AJ92" s="174" t="inlineStr">
        <is>
          <t>Reading, United Kingdom</t>
        </is>
      </c>
      <c r="AK92" s="175" t="inlineStr">
        <is>
          <t>SoanePoint, 6-8 Market Place</t>
        </is>
      </c>
      <c r="AL92" s="176" t="inlineStr">
        <is>
          <t/>
        </is>
      </c>
      <c r="AM92" s="177" t="inlineStr">
        <is>
          <t>Reading</t>
        </is>
      </c>
      <c r="AN92" s="178" t="inlineStr">
        <is>
          <t>England</t>
        </is>
      </c>
      <c r="AO92" s="179" t="inlineStr">
        <is>
          <t>RG1 2EG</t>
        </is>
      </c>
      <c r="AP92" s="180" t="inlineStr">
        <is>
          <t>United Kingdom</t>
        </is>
      </c>
      <c r="AQ92" s="181" t="inlineStr">
        <is>
          <t>+44 (0)11 8925 5195</t>
        </is>
      </c>
      <c r="AR92" s="182" t="inlineStr">
        <is>
          <t/>
        </is>
      </c>
      <c r="AS92" s="183" t="inlineStr">
        <is>
          <t>info@ecrebo.com</t>
        </is>
      </c>
      <c r="AT92" s="184" t="inlineStr">
        <is>
          <t>Europe</t>
        </is>
      </c>
      <c r="AU92" s="185" t="inlineStr">
        <is>
          <t>Western Europe</t>
        </is>
      </c>
      <c r="AV92" s="186" t="inlineStr">
        <is>
          <t>The company raised GBP 12 million of Series A venture funding from Sir Keith Mills, Joseph Schull and Octopus Ventures on February 22, 2017. The funding will support increased investment in product and technology development for the company's digital marketing platform, to recruit new talent and will help to accelerate the retail technology specialist's global expansion, with a particular focus on North America.</t>
        </is>
      </c>
      <c r="AW92" s="187" t="inlineStr">
        <is>
          <t>Individual Investor, Joseph Schull, Keith Mills, Octopus Ventures</t>
        </is>
      </c>
      <c r="AX92" s="188" t="n">
        <v>4.0</v>
      </c>
      <c r="AY92" s="189" t="inlineStr">
        <is>
          <t/>
        </is>
      </c>
      <c r="AZ92" s="190" t="inlineStr">
        <is>
          <t/>
        </is>
      </c>
      <c r="BA92" s="191" t="inlineStr">
        <is>
          <t/>
        </is>
      </c>
      <c r="BB92" s="192" t="inlineStr">
        <is>
          <t>Octopus Ventures (www.octopusventures.com)</t>
        </is>
      </c>
      <c r="BC92" s="193" t="inlineStr">
        <is>
          <t/>
        </is>
      </c>
      <c r="BD92" s="194" t="inlineStr">
        <is>
          <t/>
        </is>
      </c>
      <c r="BE92" s="195" t="inlineStr">
        <is>
          <t/>
        </is>
      </c>
      <c r="BF92" s="196" t="inlineStr">
        <is>
          <t/>
        </is>
      </c>
      <c r="BG92" s="197" t="n">
        <v>40423.0</v>
      </c>
      <c r="BH92" s="198" t="n">
        <v>0.77</v>
      </c>
      <c r="BI92" s="199" t="inlineStr">
        <is>
          <t>Actual</t>
        </is>
      </c>
      <c r="BJ92" s="200" t="n">
        <v>2.63</v>
      </c>
      <c r="BK92" s="201" t="inlineStr">
        <is>
          <t>Actual</t>
        </is>
      </c>
      <c r="BL92" s="202" t="inlineStr">
        <is>
          <t>Seed Round</t>
        </is>
      </c>
      <c r="BM92" s="203" t="inlineStr">
        <is>
          <t>Seed</t>
        </is>
      </c>
      <c r="BN92" s="204" t="inlineStr">
        <is>
          <t/>
        </is>
      </c>
      <c r="BO92" s="205" t="inlineStr">
        <is>
          <t>Venture Capital</t>
        </is>
      </c>
      <c r="BP92" s="206" t="inlineStr">
        <is>
          <t/>
        </is>
      </c>
      <c r="BQ92" s="207" t="inlineStr">
        <is>
          <t/>
        </is>
      </c>
      <c r="BR92" s="208" t="inlineStr">
        <is>
          <t/>
        </is>
      </c>
      <c r="BS92" s="209" t="inlineStr">
        <is>
          <t>Completed</t>
        </is>
      </c>
      <c r="BT92" s="210" t="n">
        <v>42788.0</v>
      </c>
      <c r="BU92" s="211" t="n">
        <v>14.07</v>
      </c>
      <c r="BV92" s="212" t="inlineStr">
        <is>
          <t>Actual</t>
        </is>
      </c>
      <c r="BW92" s="213" t="inlineStr">
        <is>
          <t/>
        </is>
      </c>
      <c r="BX92" s="214" t="inlineStr">
        <is>
          <t/>
        </is>
      </c>
      <c r="BY92" s="215" t="inlineStr">
        <is>
          <t>Later Stage VC</t>
        </is>
      </c>
      <c r="BZ92" s="216" t="inlineStr">
        <is>
          <t>Series A</t>
        </is>
      </c>
      <c r="CA92" s="217" t="inlineStr">
        <is>
          <t/>
        </is>
      </c>
      <c r="CB92" s="218" t="inlineStr">
        <is>
          <t>Venture Capital</t>
        </is>
      </c>
      <c r="CC92" s="219" t="inlineStr">
        <is>
          <t/>
        </is>
      </c>
      <c r="CD92" s="220" t="inlineStr">
        <is>
          <t/>
        </is>
      </c>
      <c r="CE92" s="221" t="inlineStr">
        <is>
          <t/>
        </is>
      </c>
      <c r="CF92" s="222" t="inlineStr">
        <is>
          <t>Completed</t>
        </is>
      </c>
      <c r="CG92" s="223" t="inlineStr">
        <is>
          <t>0,34%</t>
        </is>
      </c>
      <c r="CH92" s="224" t="inlineStr">
        <is>
          <t>90</t>
        </is>
      </c>
      <c r="CI92" s="225" t="inlineStr">
        <is>
          <t>-0,16%</t>
        </is>
      </c>
      <c r="CJ92" s="226" t="inlineStr">
        <is>
          <t>-32,71%</t>
        </is>
      </c>
      <c r="CK92" s="227" t="inlineStr">
        <is>
          <t>0,00%</t>
        </is>
      </c>
      <c r="CL92" s="228" t="inlineStr">
        <is>
          <t>28</t>
        </is>
      </c>
      <c r="CM92" s="229" t="inlineStr">
        <is>
          <t>0,67%</t>
        </is>
      </c>
      <c r="CN92" s="230" t="inlineStr">
        <is>
          <t>92</t>
        </is>
      </c>
      <c r="CO92" s="231" t="inlineStr">
        <is>
          <t>0,00%</t>
        </is>
      </c>
      <c r="CP92" s="232" t="inlineStr">
        <is>
          <t>37</t>
        </is>
      </c>
      <c r="CQ92" s="233" t="inlineStr">
        <is>
          <t>0,00%</t>
        </is>
      </c>
      <c r="CR92" s="234" t="inlineStr">
        <is>
          <t>20</t>
        </is>
      </c>
      <c r="CS92" s="235" t="inlineStr">
        <is>
          <t/>
        </is>
      </c>
      <c r="CT92" s="236" t="inlineStr">
        <is>
          <t/>
        </is>
      </c>
      <c r="CU92" s="237" t="inlineStr">
        <is>
          <t>0,67%</t>
        </is>
      </c>
      <c r="CV92" s="238" t="inlineStr">
        <is>
          <t>94</t>
        </is>
      </c>
      <c r="CW92" s="239" t="inlineStr">
        <is>
          <t>1,52x</t>
        </is>
      </c>
      <c r="CX92" s="240" t="inlineStr">
        <is>
          <t>59</t>
        </is>
      </c>
      <c r="CY92" s="241" t="inlineStr">
        <is>
          <t>-0,02x</t>
        </is>
      </c>
      <c r="CZ92" s="242" t="inlineStr">
        <is>
          <t>-1,09%</t>
        </is>
      </c>
      <c r="DA92" s="243" t="inlineStr">
        <is>
          <t>1,97x</t>
        </is>
      </c>
      <c r="DB92" s="244" t="inlineStr">
        <is>
          <t>66</t>
        </is>
      </c>
      <c r="DC92" s="245" t="inlineStr">
        <is>
          <t>1,08x</t>
        </is>
      </c>
      <c r="DD92" s="246" t="inlineStr">
        <is>
          <t>50</t>
        </is>
      </c>
      <c r="DE92" s="247" t="inlineStr">
        <is>
          <t>1,49x</t>
        </is>
      </c>
      <c r="DF92" s="248" t="inlineStr">
        <is>
          <t>60</t>
        </is>
      </c>
      <c r="DG92" s="249" t="inlineStr">
        <is>
          <t>2,44x</t>
        </is>
      </c>
      <c r="DH92" s="250" t="inlineStr">
        <is>
          <t>68</t>
        </is>
      </c>
      <c r="DI92" s="251" t="inlineStr">
        <is>
          <t/>
        </is>
      </c>
      <c r="DJ92" s="252" t="inlineStr">
        <is>
          <t/>
        </is>
      </c>
      <c r="DK92" s="253" t="inlineStr">
        <is>
          <t>1,08x</t>
        </is>
      </c>
      <c r="DL92" s="254" t="inlineStr">
        <is>
          <t>52</t>
        </is>
      </c>
      <c r="DM92" s="255" t="inlineStr">
        <is>
          <t>574</t>
        </is>
      </c>
      <c r="DN92" s="256" t="inlineStr">
        <is>
          <t>-66</t>
        </is>
      </c>
      <c r="DO92" s="257" t="inlineStr">
        <is>
          <t>-10,31%</t>
        </is>
      </c>
      <c r="DP92" s="258" t="inlineStr">
        <is>
          <t/>
        </is>
      </c>
      <c r="DQ92" s="259" t="inlineStr">
        <is>
          <t/>
        </is>
      </c>
      <c r="DR92" s="260" t="inlineStr">
        <is>
          <t/>
        </is>
      </c>
      <c r="DS92" s="261" t="inlineStr">
        <is>
          <t>88</t>
        </is>
      </c>
      <c r="DT92" s="262" t="inlineStr">
        <is>
          <t>-1</t>
        </is>
      </c>
      <c r="DU92" s="263" t="inlineStr">
        <is>
          <t>-1,12%</t>
        </is>
      </c>
      <c r="DV92" s="264" t="inlineStr">
        <is>
          <t>405</t>
        </is>
      </c>
      <c r="DW92" s="265" t="inlineStr">
        <is>
          <t>-2</t>
        </is>
      </c>
      <c r="DX92" s="266" t="inlineStr">
        <is>
          <t>-0,49%</t>
        </is>
      </c>
      <c r="DY92" s="267" t="inlineStr">
        <is>
          <t>PitchBook Research</t>
        </is>
      </c>
      <c r="DZ92" s="786">
        <f>HYPERLINK("https://my.pitchbook.com?c=86741-74", "View company online")</f>
      </c>
    </row>
    <row r="93">
      <c r="A93" s="9" t="inlineStr">
        <is>
          <t>53814-70</t>
        </is>
      </c>
      <c r="B93" s="10" t="inlineStr">
        <is>
          <t>Artesian Solutions</t>
        </is>
      </c>
      <c r="C93" s="11" t="inlineStr">
        <is>
          <t/>
        </is>
      </c>
      <c r="D93" s="12" t="inlineStr">
        <is>
          <t>Artesian</t>
        </is>
      </c>
      <c r="E93" s="13" t="inlineStr">
        <is>
          <t>53814-70</t>
        </is>
      </c>
      <c r="F93" s="14" t="inlineStr">
        <is>
          <t>Developer of Artificial Intelligence (AI) powered sales intelligence tools designed to change the way B2B sellers communicate with their customers. The company's suite of tools continually scans millions of online sources for data on markets, organisations, individuals and topics and uses algorithms to filter and transform that information into commercially valuable insights to track customers, prospects, competitors and partners, enabling businesses spot and capitalize on business opportunities and manage risks in your pipeline.</t>
        </is>
      </c>
      <c r="G93" s="15" t="inlineStr">
        <is>
          <t>Information Technology</t>
        </is>
      </c>
      <c r="H93" s="16" t="inlineStr">
        <is>
          <t>Software</t>
        </is>
      </c>
      <c r="I93" s="17" t="inlineStr">
        <is>
          <t>Business/Productivity Software</t>
        </is>
      </c>
      <c r="J93" s="18" t="inlineStr">
        <is>
          <t>Business/Productivity Software*; Media and Information Services (B2B)</t>
        </is>
      </c>
      <c r="K93" s="19" t="inlineStr">
        <is>
          <t>Artificial Intelligence &amp; Machine Learning, SaaS</t>
        </is>
      </c>
      <c r="L93" s="20" t="inlineStr">
        <is>
          <t>Venture Capital-Backed</t>
        </is>
      </c>
      <c r="M93" s="21" t="n">
        <v>20.14</v>
      </c>
      <c r="N93" s="22" t="inlineStr">
        <is>
          <t>Generating Revenue</t>
        </is>
      </c>
      <c r="O93" s="23" t="inlineStr">
        <is>
          <t>Privately Held (backing)</t>
        </is>
      </c>
      <c r="P93" s="24" t="inlineStr">
        <is>
          <t>Venture Capital</t>
        </is>
      </c>
      <c r="Q93" s="25" t="inlineStr">
        <is>
          <t>www.artesian.co</t>
        </is>
      </c>
      <c r="R93" s="26" t="n">
        <v>74.0</v>
      </c>
      <c r="S93" s="27" t="inlineStr">
        <is>
          <t/>
        </is>
      </c>
      <c r="T93" s="28" t="inlineStr">
        <is>
          <t/>
        </is>
      </c>
      <c r="U93" s="29" t="n">
        <v>2006.0</v>
      </c>
      <c r="V93" s="30" t="inlineStr">
        <is>
          <t/>
        </is>
      </c>
      <c r="W93" s="31" t="inlineStr">
        <is>
          <r>
            <rPr>
              <b/>
              <color rgb="ff26854d"/>
              <rFont val="Arial"/>
              <sz val="8.0"/>
            </rPr>
            <t>Deal</t>
          </r>
          <r>
            <rPr>
              <color rgb="ff707070"/>
              <rFont val="Arial"/>
              <sz val="7.0"/>
            </rPr>
            <t xml:space="preserve"> NEW  </t>
          </r>
          <r>
            <rPr>
              <color rgb="ff000000"/>
              <rFont val="Arial"/>
              <sz val="8.0"/>
            </rPr>
            <t>Later Stage VC, 2017</t>
          </r>
          <r>
            <rPr>
              <color rgb="ff707070"/>
              <rFont val="Arial"/>
              <sz val="7.0"/>
            </rPr>
            <t xml:space="preserve"> Completed</t>
          </r>
          <r>
            <rPr>
              <color rgb="ff000000"/>
              <rFont val="Arial"/>
              <sz val="8.0"/>
            </rPr>
            <t xml:space="preserve">
</t>
          </r>
          <r>
            <rPr>
              <b/>
              <color rgb="ff26854d"/>
              <rFont val="Arial"/>
              <sz val="8.0"/>
            </rPr>
            <t>Promotion</t>
          </r>
          <r>
            <rPr>
              <color rgb="ff707070"/>
              <rFont val="Arial"/>
              <sz val="7.0"/>
            </rPr>
            <t xml:space="preserve"> NEW  </t>
          </r>
          <r>
            <rPr>
              <color rgb="ff000000"/>
              <rFont val="Arial"/>
              <sz val="8.0"/>
            </rPr>
            <t>Michael Blackadder, Co-Founder, Chief Compliance Officer &amp; Board Member</t>
          </r>
          <r>
            <rPr>
              <color rgb="ff000000"/>
              <rFont val="Arial"/>
              <sz val="8.0"/>
            </rPr>
            <t xml:space="preserve">
</t>
          </r>
          <r>
            <rPr>
              <b/>
              <color rgb="ff26854d"/>
              <rFont val="Arial"/>
              <sz val="8.0"/>
            </rPr>
            <t>News</t>
          </r>
          <r>
            <rPr>
              <color rgb="ff707070"/>
              <rFont val="Arial"/>
              <sz val="7.0"/>
            </rPr>
            <t xml:space="preserve"> NEW  </t>
          </r>
        </is>
      </c>
      <c r="X93" s="32" t="inlineStr">
        <is>
          <r>
            <rPr>
              <b/>
              <color rgb="ff26854d"/>
              <rFont val="Arial"/>
              <sz val="8.0"/>
            </rPr>
            <t>Deal</t>
          </r>
          <r>
            <rPr>
              <color rgb="ff707070"/>
              <rFont val="Arial"/>
              <sz val="7.0"/>
            </rPr>
            <t xml:space="preserve"> NEW  </t>
          </r>
          <r>
            <rPr>
              <color rgb="ff000000"/>
              <rFont val="Arial"/>
              <sz val="8.0"/>
            </rPr>
            <t>Later Stage VC, 2017</t>
          </r>
          <r>
            <rPr>
              <color rgb="ff707070"/>
              <rFont val="Arial"/>
              <sz val="7.0"/>
            </rPr>
            <t xml:space="preserve"> Completed</t>
          </r>
          <r>
            <rPr>
              <color rgb="ff000000"/>
              <rFont val="Arial"/>
              <sz val="8.0"/>
            </rPr>
            <t xml:space="preserve">
</t>
          </r>
          <r>
            <rPr>
              <b/>
              <color rgb="ff26854d"/>
              <rFont val="Arial"/>
              <sz val="8.0"/>
            </rPr>
            <t>Promotion</t>
          </r>
          <r>
            <rPr>
              <color rgb="ff707070"/>
              <rFont val="Arial"/>
              <sz val="7.0"/>
            </rPr>
            <t xml:space="preserve"> NEW  </t>
          </r>
          <r>
            <rPr>
              <color rgb="ff000000"/>
              <rFont val="Arial"/>
              <sz val="8.0"/>
            </rPr>
            <t>Michael Blackadder, Co-Founder, Chief Compliance Officer &amp; Board Member</t>
          </r>
          <r>
            <rPr>
              <color rgb="ff000000"/>
              <rFont val="Arial"/>
              <sz val="8.0"/>
            </rPr>
            <t xml:space="preserve">
</t>
          </r>
          <r>
            <rPr>
              <b/>
              <color rgb="ff26854d"/>
              <rFont val="Arial"/>
              <sz val="8.0"/>
            </rPr>
            <t>News</t>
          </r>
          <r>
            <rPr>
              <color rgb="ff707070"/>
              <rFont val="Arial"/>
              <sz val="7.0"/>
            </rPr>
            <t xml:space="preserve"> NEW  </t>
          </r>
        </is>
      </c>
      <c r="Y93" s="33" t="inlineStr">
        <is>
          <t/>
        </is>
      </c>
      <c r="Z93" s="34" t="inlineStr">
        <is>
          <t/>
        </is>
      </c>
      <c r="AA93" s="35" t="inlineStr">
        <is>
          <t/>
        </is>
      </c>
      <c r="AB93" s="36" t="inlineStr">
        <is>
          <t/>
        </is>
      </c>
      <c r="AC93" s="37" t="inlineStr">
        <is>
          <t/>
        </is>
      </c>
      <c r="AD93" s="38" t="inlineStr">
        <is>
          <t/>
        </is>
      </c>
      <c r="AE93" s="39" t="inlineStr">
        <is>
          <t>41411-17P</t>
        </is>
      </c>
      <c r="AF93" s="40" t="inlineStr">
        <is>
          <t>Andrew Yates</t>
        </is>
      </c>
      <c r="AG93" s="41" t="inlineStr">
        <is>
          <t>Co-Founder &amp; Chief Executive Officer</t>
        </is>
      </c>
      <c r="AH93" s="42" t="inlineStr">
        <is>
          <t>andrew@artesiansolutions.com</t>
        </is>
      </c>
      <c r="AI93" s="43" t="inlineStr">
        <is>
          <t>+44 (0)11 8907 0550</t>
        </is>
      </c>
      <c r="AJ93" s="44" t="inlineStr">
        <is>
          <t>Winnersh, United Kingdom</t>
        </is>
      </c>
      <c r="AK93" s="45" t="inlineStr">
        <is>
          <t>Artesian House</t>
        </is>
      </c>
      <c r="AL93" s="46" t="inlineStr">
        <is>
          <t>Gazelle Close</t>
        </is>
      </c>
      <c r="AM93" s="47" t="inlineStr">
        <is>
          <t>Winnersh</t>
        </is>
      </c>
      <c r="AN93" s="48" t="inlineStr">
        <is>
          <t>England</t>
        </is>
      </c>
      <c r="AO93" s="49" t="inlineStr">
        <is>
          <t>RG41 5QS</t>
        </is>
      </c>
      <c r="AP93" s="50" t="inlineStr">
        <is>
          <t>United Kingdom</t>
        </is>
      </c>
      <c r="AQ93" s="51" t="inlineStr">
        <is>
          <t>+44 (0)33 0321 0101</t>
        </is>
      </c>
      <c r="AR93" s="52" t="inlineStr">
        <is>
          <t>+44 (0)33 0321 0202</t>
        </is>
      </c>
      <c r="AS93" s="53" t="inlineStr">
        <is>
          <t>info@artesian.co</t>
        </is>
      </c>
      <c r="AT93" s="54" t="inlineStr">
        <is>
          <t>Europe</t>
        </is>
      </c>
      <c r="AU93" s="55" t="inlineStr">
        <is>
          <t>Western Europe</t>
        </is>
      </c>
      <c r="AV93" s="56" t="inlineStr">
        <is>
          <t>The company raised GBP 3.5 million of venture funding from Columbia Lake Partners on November 29, 2017. The capital will be used to refinance existing debt obligations and provide a line of working capital for further growth and expansion.</t>
        </is>
      </c>
      <c r="AW93" s="57" t="inlineStr">
        <is>
          <t>Columbia Lake Partners, Kreos Capital, Octopus Ventures</t>
        </is>
      </c>
      <c r="AX93" s="58" t="n">
        <v>3.0</v>
      </c>
      <c r="AY93" s="59" t="inlineStr">
        <is>
          <t/>
        </is>
      </c>
      <c r="AZ93" s="60" t="inlineStr">
        <is>
          <t/>
        </is>
      </c>
      <c r="BA93" s="61" t="inlineStr">
        <is>
          <t/>
        </is>
      </c>
      <c r="BB93" s="62" t="inlineStr">
        <is>
          <t>Columbia Lake Partners (www.clpgrowth.com), Kreos Capital (www.kreoscapital.com), Octopus Ventures (www.octopusventures.com)</t>
        </is>
      </c>
      <c r="BC93" s="63" t="inlineStr">
        <is>
          <t/>
        </is>
      </c>
      <c r="BD93" s="64" t="inlineStr">
        <is>
          <t/>
        </is>
      </c>
      <c r="BE93" s="65" t="inlineStr">
        <is>
          <t>Orrick, Herrington &amp; Sutcliffe (Legal Advisor), Erevena (Consulting)</t>
        </is>
      </c>
      <c r="BF93" s="66" t="inlineStr">
        <is>
          <t>Orrick, Herrington &amp; Sutcliffe (Legal Advisor), Silverpeak (Advisor: General), Kreos Capital (Debt Financing)</t>
        </is>
      </c>
      <c r="BG93" s="67" t="n">
        <v>39823.0</v>
      </c>
      <c r="BH93" s="68" t="n">
        <v>0.14</v>
      </c>
      <c r="BI93" s="69" t="inlineStr">
        <is>
          <t>Actual</t>
        </is>
      </c>
      <c r="BJ93" s="70" t="n">
        <v>3.39</v>
      </c>
      <c r="BK93" s="71" t="inlineStr">
        <is>
          <t>Actual</t>
        </is>
      </c>
      <c r="BL93" s="72" t="inlineStr">
        <is>
          <t>Early Stage VC</t>
        </is>
      </c>
      <c r="BM93" s="73" t="inlineStr">
        <is>
          <t/>
        </is>
      </c>
      <c r="BN93" s="74" t="inlineStr">
        <is>
          <t/>
        </is>
      </c>
      <c r="BO93" s="75" t="inlineStr">
        <is>
          <t>Venture Capital</t>
        </is>
      </c>
      <c r="BP93" s="76" t="inlineStr">
        <is>
          <t/>
        </is>
      </c>
      <c r="BQ93" s="77" t="inlineStr">
        <is>
          <t/>
        </is>
      </c>
      <c r="BR93" s="78" t="inlineStr">
        <is>
          <t/>
        </is>
      </c>
      <c r="BS93" s="79" t="inlineStr">
        <is>
          <t>Completed</t>
        </is>
      </c>
      <c r="BT93" s="80" t="n">
        <v>43068.0</v>
      </c>
      <c r="BU93" s="81" t="n">
        <v>3.93</v>
      </c>
      <c r="BV93" s="82" t="inlineStr">
        <is>
          <t>Actual</t>
        </is>
      </c>
      <c r="BW93" s="83" t="inlineStr">
        <is>
          <t/>
        </is>
      </c>
      <c r="BX93" s="84" t="inlineStr">
        <is>
          <t/>
        </is>
      </c>
      <c r="BY93" s="85" t="inlineStr">
        <is>
          <t>Later Stage VC</t>
        </is>
      </c>
      <c r="BZ93" s="86" t="inlineStr">
        <is>
          <t/>
        </is>
      </c>
      <c r="CA93" s="87" t="inlineStr">
        <is>
          <t/>
        </is>
      </c>
      <c r="CB93" s="88" t="inlineStr">
        <is>
          <t>Venture Capital</t>
        </is>
      </c>
      <c r="CC93" s="89" t="inlineStr">
        <is>
          <t/>
        </is>
      </c>
      <c r="CD93" s="90" t="inlineStr">
        <is>
          <t/>
        </is>
      </c>
      <c r="CE93" s="91" t="inlineStr">
        <is>
          <t/>
        </is>
      </c>
      <c r="CF93" s="92" t="inlineStr">
        <is>
          <t>Completed</t>
        </is>
      </c>
      <c r="CG93" s="93" t="inlineStr">
        <is>
          <t>-0,07%</t>
        </is>
      </c>
      <c r="CH93" s="94" t="inlineStr">
        <is>
          <t>26</t>
        </is>
      </c>
      <c r="CI93" s="95" t="inlineStr">
        <is>
          <t>0,07%</t>
        </is>
      </c>
      <c r="CJ93" s="96" t="inlineStr">
        <is>
          <t>49,83%</t>
        </is>
      </c>
      <c r="CK93" s="97" t="inlineStr">
        <is>
          <t>-0,11%</t>
        </is>
      </c>
      <c r="CL93" s="98" t="inlineStr">
        <is>
          <t>27</t>
        </is>
      </c>
      <c r="CM93" s="99" t="inlineStr">
        <is>
          <t>-0,03%</t>
        </is>
      </c>
      <c r="CN93" s="100" t="inlineStr">
        <is>
          <t>13</t>
        </is>
      </c>
      <c r="CO93" s="101" t="inlineStr">
        <is>
          <t>0,00%</t>
        </is>
      </c>
      <c r="CP93" s="102" t="inlineStr">
        <is>
          <t>37</t>
        </is>
      </c>
      <c r="CQ93" s="103" t="inlineStr">
        <is>
          <t>-0,21%</t>
        </is>
      </c>
      <c r="CR93" s="104" t="inlineStr">
        <is>
          <t>19</t>
        </is>
      </c>
      <c r="CS93" s="105" t="inlineStr">
        <is>
          <t>0,00%</t>
        </is>
      </c>
      <c r="CT93" s="106" t="inlineStr">
        <is>
          <t>18</t>
        </is>
      </c>
      <c r="CU93" s="107" t="inlineStr">
        <is>
          <t>-0,06%</t>
        </is>
      </c>
      <c r="CV93" s="108" t="inlineStr">
        <is>
          <t>12</t>
        </is>
      </c>
      <c r="CW93" s="109" t="inlineStr">
        <is>
          <t>3,65x</t>
        </is>
      </c>
      <c r="CX93" s="110" t="inlineStr">
        <is>
          <t>75</t>
        </is>
      </c>
      <c r="CY93" s="111" t="inlineStr">
        <is>
          <t>-0,02x</t>
        </is>
      </c>
      <c r="CZ93" s="112" t="inlineStr">
        <is>
          <t>-0,50%</t>
        </is>
      </c>
      <c r="DA93" s="113" t="inlineStr">
        <is>
          <t>4,69x</t>
        </is>
      </c>
      <c r="DB93" s="114" t="inlineStr">
        <is>
          <t>80</t>
        </is>
      </c>
      <c r="DC93" s="115" t="inlineStr">
        <is>
          <t>2,61x</t>
        </is>
      </c>
      <c r="DD93" s="116" t="inlineStr">
        <is>
          <t>66</t>
        </is>
      </c>
      <c r="DE93" s="117" t="inlineStr">
        <is>
          <t>1,20x</t>
        </is>
      </c>
      <c r="DF93" s="118" t="inlineStr">
        <is>
          <t>55</t>
        </is>
      </c>
      <c r="DG93" s="119" t="inlineStr">
        <is>
          <t>8,17x</t>
        </is>
      </c>
      <c r="DH93" s="120" t="inlineStr">
        <is>
          <t>85</t>
        </is>
      </c>
      <c r="DI93" s="121" t="inlineStr">
        <is>
          <t>0,14x</t>
        </is>
      </c>
      <c r="DJ93" s="122" t="inlineStr">
        <is>
          <t>18</t>
        </is>
      </c>
      <c r="DK93" s="123" t="inlineStr">
        <is>
          <t>5,09x</t>
        </is>
      </c>
      <c r="DL93" s="124" t="inlineStr">
        <is>
          <t>79</t>
        </is>
      </c>
      <c r="DM93" s="125" t="inlineStr">
        <is>
          <t>441</t>
        </is>
      </c>
      <c r="DN93" s="126" t="inlineStr">
        <is>
          <t>29</t>
        </is>
      </c>
      <c r="DO93" s="127" t="inlineStr">
        <is>
          <t>7,04%</t>
        </is>
      </c>
      <c r="DP93" s="128" t="inlineStr">
        <is>
          <t>106</t>
        </is>
      </c>
      <c r="DQ93" s="129" t="inlineStr">
        <is>
          <t>0</t>
        </is>
      </c>
      <c r="DR93" s="130" t="inlineStr">
        <is>
          <t>0,00%</t>
        </is>
      </c>
      <c r="DS93" s="131" t="inlineStr">
        <is>
          <t>294</t>
        </is>
      </c>
      <c r="DT93" s="132" t="inlineStr">
        <is>
          <t>0</t>
        </is>
      </c>
      <c r="DU93" s="133" t="inlineStr">
        <is>
          <t>0,00%</t>
        </is>
      </c>
      <c r="DV93" s="134" t="inlineStr">
        <is>
          <t>1.904</t>
        </is>
      </c>
      <c r="DW93" s="135" t="inlineStr">
        <is>
          <t>-2</t>
        </is>
      </c>
      <c r="DX93" s="136" t="inlineStr">
        <is>
          <t>-0,10%</t>
        </is>
      </c>
      <c r="DY93" s="137" t="inlineStr">
        <is>
          <t>PitchBook Research</t>
        </is>
      </c>
      <c r="DZ93" s="785">
        <f>HYPERLINK("https://my.pitchbook.com?c=53814-70", "View company online")</f>
      </c>
    </row>
    <row r="94">
      <c r="A94" s="139" t="inlineStr">
        <is>
          <t>57334-51</t>
        </is>
      </c>
      <c r="B94" s="140" t="inlineStr">
        <is>
          <t>Onzo</t>
        </is>
      </c>
      <c r="C94" s="141" t="inlineStr">
        <is>
          <t/>
        </is>
      </c>
      <c r="D94" s="142" t="inlineStr">
        <is>
          <t/>
        </is>
      </c>
      <c r="E94" s="143" t="inlineStr">
        <is>
          <t>57334-51</t>
        </is>
      </c>
      <c r="F94" s="144" t="inlineStr">
        <is>
          <t>Provider of a data analytics platform designed to enhance consumer insights for the utility. The company's data analytics platform delivers valuable insight from the analysis of big utility data and offers an energy management tool that consists of a sensor, display and an integrated website, enabling clients to apply this insight in transforming customer relationships, improving energy efficiency, shifting peak demand and offering new energy services while reducing operational costs.</t>
        </is>
      </c>
      <c r="G94" s="145" t="inlineStr">
        <is>
          <t>Information Technology</t>
        </is>
      </c>
      <c r="H94" s="146" t="inlineStr">
        <is>
          <t>Software</t>
        </is>
      </c>
      <c r="I94" s="147" t="inlineStr">
        <is>
          <t>Business/Productivity Software</t>
        </is>
      </c>
      <c r="J94" s="148" t="inlineStr">
        <is>
          <t>Business/Productivity Software*; Media and Information Services (B2B); Other Energy Services</t>
        </is>
      </c>
      <c r="K94" s="149" t="inlineStr">
        <is>
          <t>Big Data, SaaS</t>
        </is>
      </c>
      <c r="L94" s="150" t="inlineStr">
        <is>
          <t>Venture Capital-Backed</t>
        </is>
      </c>
      <c r="M94" s="151" t="n">
        <v>19.46</v>
      </c>
      <c r="N94" s="152" t="inlineStr">
        <is>
          <t>Generating Revenue</t>
        </is>
      </c>
      <c r="O94" s="153" t="inlineStr">
        <is>
          <t>Privately Held (backing)</t>
        </is>
      </c>
      <c r="P94" s="154" t="inlineStr">
        <is>
          <t>Venture Capital</t>
        </is>
      </c>
      <c r="Q94" s="155" t="inlineStr">
        <is>
          <t>www.onzo.com</t>
        </is>
      </c>
      <c r="R94" s="156" t="n">
        <v>41.0</v>
      </c>
      <c r="S94" s="157" t="inlineStr">
        <is>
          <t/>
        </is>
      </c>
      <c r="T94" s="158" t="inlineStr">
        <is>
          <t/>
        </is>
      </c>
      <c r="U94" s="159" t="n">
        <v>2007.0</v>
      </c>
      <c r="V94" s="160" t="inlineStr">
        <is>
          <t/>
        </is>
      </c>
      <c r="W94" s="161" t="inlineStr">
        <is>
          <t/>
        </is>
      </c>
      <c r="X94" s="162" t="inlineStr">
        <is>
          <t/>
        </is>
      </c>
      <c r="Y94" s="163" t="n">
        <v>5.44288</v>
      </c>
      <c r="Z94" s="164" t="inlineStr">
        <is>
          <t/>
        </is>
      </c>
      <c r="AA94" s="165" t="inlineStr">
        <is>
          <t/>
        </is>
      </c>
      <c r="AB94" s="166" t="inlineStr">
        <is>
          <t/>
        </is>
      </c>
      <c r="AC94" s="167" t="inlineStr">
        <is>
          <t/>
        </is>
      </c>
      <c r="AD94" s="168" t="inlineStr">
        <is>
          <t>FY 2017</t>
        </is>
      </c>
      <c r="AE94" s="169" t="inlineStr">
        <is>
          <t>48386-80P</t>
        </is>
      </c>
      <c r="AF94" s="170" t="inlineStr">
        <is>
          <t>Colman Stephenson</t>
        </is>
      </c>
      <c r="AG94" s="171" t="inlineStr">
        <is>
          <t>Chief Financial Officer &amp; Board Member</t>
        </is>
      </c>
      <c r="AH94" s="172" t="inlineStr">
        <is>
          <t>colman.stephenson@onzo.com</t>
        </is>
      </c>
      <c r="AI94" s="173" t="inlineStr">
        <is>
          <t>+1 (844) 344-6696</t>
        </is>
      </c>
      <c r="AJ94" s="174" t="inlineStr">
        <is>
          <t>London, United Kingdom</t>
        </is>
      </c>
      <c r="AK94" s="175" t="inlineStr">
        <is>
          <t>5th Floor, Capital House</t>
        </is>
      </c>
      <c r="AL94" s="176" t="inlineStr">
        <is>
          <t>25 Chapel Street</t>
        </is>
      </c>
      <c r="AM94" s="177" t="inlineStr">
        <is>
          <t>London</t>
        </is>
      </c>
      <c r="AN94" s="178" t="inlineStr">
        <is>
          <t>England</t>
        </is>
      </c>
      <c r="AO94" s="179" t="inlineStr">
        <is>
          <t>NW1 5DH</t>
        </is>
      </c>
      <c r="AP94" s="180" t="inlineStr">
        <is>
          <t>United Kingdom</t>
        </is>
      </c>
      <c r="AQ94" s="181" t="inlineStr">
        <is>
          <t>+44 (0)20 3051 3270</t>
        </is>
      </c>
      <c r="AR94" s="182" t="inlineStr">
        <is>
          <t/>
        </is>
      </c>
      <c r="AS94" s="183" t="inlineStr">
        <is>
          <t>info@onzo.com</t>
        </is>
      </c>
      <c r="AT94" s="184" t="inlineStr">
        <is>
          <t>Europe</t>
        </is>
      </c>
      <c r="AU94" s="185" t="inlineStr">
        <is>
          <t>Western Europe</t>
        </is>
      </c>
      <c r="AV94" s="186" t="inlineStr">
        <is>
          <t>The company raised GBP 3.1 million of venture funding from Cipio Partners, West Coast Capital and Eneco Group on March 2, 2017, putting the company's pre-money valuation at GBP 10.76 million.</t>
        </is>
      </c>
      <c r="AW94" s="187" t="inlineStr">
        <is>
          <t>Cipio Partners, Eneco Group, Innovate UK, Shackleton Ventures, Sigma Capital Group (VC), SSE, West Coast Capital</t>
        </is>
      </c>
      <c r="AX94" s="188" t="n">
        <v>7.0</v>
      </c>
      <c r="AY94" s="189" t="inlineStr">
        <is>
          <t/>
        </is>
      </c>
      <c r="AZ94" s="190" t="inlineStr">
        <is>
          <t/>
        </is>
      </c>
      <c r="BA94" s="191" t="inlineStr">
        <is>
          <t/>
        </is>
      </c>
      <c r="BB94" s="192" t="inlineStr">
        <is>
          <t>Cipio Partners (www.cipiopartners.com), Eneco Group (www.enecogroup.com), Innovate UK (www.gov.uk), Shackleton Ventures (www.shackletonventures.com), Sigma Capital Group (VC) (www.sigmacapital.co.uk), West Coast Capital (www.westcoastcapital.co.uk)</t>
        </is>
      </c>
      <c r="BC94" s="193" t="inlineStr">
        <is>
          <t/>
        </is>
      </c>
      <c r="BD94" s="194" t="inlineStr">
        <is>
          <t/>
        </is>
      </c>
      <c r="BE94" s="195" t="inlineStr">
        <is>
          <t>Turquoise International (Advisor: General), Olswang (Legal Advisor)</t>
        </is>
      </c>
      <c r="BF94" s="196" t="inlineStr">
        <is>
          <t>Olswang (Legal Advisor)</t>
        </is>
      </c>
      <c r="BG94" s="197" t="n">
        <v>39539.0</v>
      </c>
      <c r="BH94" s="198" t="n">
        <v>2.58</v>
      </c>
      <c r="BI94" s="199" t="inlineStr">
        <is>
          <t>Actual</t>
        </is>
      </c>
      <c r="BJ94" s="200" t="n">
        <v>4.78</v>
      </c>
      <c r="BK94" s="201" t="inlineStr">
        <is>
          <t>Actual</t>
        </is>
      </c>
      <c r="BL94" s="202" t="inlineStr">
        <is>
          <t>Early Stage VC</t>
        </is>
      </c>
      <c r="BM94" s="203" t="inlineStr">
        <is>
          <t/>
        </is>
      </c>
      <c r="BN94" s="204" t="inlineStr">
        <is>
          <t/>
        </is>
      </c>
      <c r="BO94" s="205" t="inlineStr">
        <is>
          <t>Venture Capital</t>
        </is>
      </c>
      <c r="BP94" s="206" t="inlineStr">
        <is>
          <t/>
        </is>
      </c>
      <c r="BQ94" s="207" t="inlineStr">
        <is>
          <t/>
        </is>
      </c>
      <c r="BR94" s="208" t="inlineStr">
        <is>
          <t/>
        </is>
      </c>
      <c r="BS94" s="209" t="inlineStr">
        <is>
          <t>Completed</t>
        </is>
      </c>
      <c r="BT94" s="210" t="n">
        <v>42796.0</v>
      </c>
      <c r="BU94" s="211" t="n">
        <v>3.58</v>
      </c>
      <c r="BV94" s="212" t="inlineStr">
        <is>
          <t>Actual</t>
        </is>
      </c>
      <c r="BW94" s="213" t="n">
        <v>16.01</v>
      </c>
      <c r="BX94" s="214" t="inlineStr">
        <is>
          <t>Actual</t>
        </is>
      </c>
      <c r="BY94" s="215" t="inlineStr">
        <is>
          <t>Later Stage VC</t>
        </is>
      </c>
      <c r="BZ94" s="216" t="inlineStr">
        <is>
          <t/>
        </is>
      </c>
      <c r="CA94" s="217" t="inlineStr">
        <is>
          <t/>
        </is>
      </c>
      <c r="CB94" s="218" t="inlineStr">
        <is>
          <t>Venture Capital</t>
        </is>
      </c>
      <c r="CC94" s="219" t="inlineStr">
        <is>
          <t/>
        </is>
      </c>
      <c r="CD94" s="220" t="inlineStr">
        <is>
          <t/>
        </is>
      </c>
      <c r="CE94" s="221" t="inlineStr">
        <is>
          <t/>
        </is>
      </c>
      <c r="CF94" s="222" t="inlineStr">
        <is>
          <t>Completed</t>
        </is>
      </c>
      <c r="CG94" s="223" t="inlineStr">
        <is>
          <t>-0,13%</t>
        </is>
      </c>
      <c r="CH94" s="224" t="inlineStr">
        <is>
          <t>24</t>
        </is>
      </c>
      <c r="CI94" s="225" t="inlineStr">
        <is>
          <t>0,00%</t>
        </is>
      </c>
      <c r="CJ94" s="226" t="inlineStr">
        <is>
          <t>-3,15%</t>
        </is>
      </c>
      <c r="CK94" s="227" t="inlineStr">
        <is>
          <t>-0,57%</t>
        </is>
      </c>
      <c r="CL94" s="228" t="inlineStr">
        <is>
          <t>23</t>
        </is>
      </c>
      <c r="CM94" s="229" t="inlineStr">
        <is>
          <t>0,31%</t>
        </is>
      </c>
      <c r="CN94" s="230" t="inlineStr">
        <is>
          <t>81</t>
        </is>
      </c>
      <c r="CO94" s="231" t="inlineStr">
        <is>
          <t>0,00%</t>
        </is>
      </c>
      <c r="CP94" s="232" t="inlineStr">
        <is>
          <t>37</t>
        </is>
      </c>
      <c r="CQ94" s="233" t="inlineStr">
        <is>
          <t>-1,14%</t>
        </is>
      </c>
      <c r="CR94" s="234" t="inlineStr">
        <is>
          <t>8</t>
        </is>
      </c>
      <c r="CS94" s="235" t="inlineStr">
        <is>
          <t/>
        </is>
      </c>
      <c r="CT94" s="236" t="inlineStr">
        <is>
          <t/>
        </is>
      </c>
      <c r="CU94" s="237" t="inlineStr">
        <is>
          <t>0,31%</t>
        </is>
      </c>
      <c r="CV94" s="238" t="inlineStr">
        <is>
          <t>84</t>
        </is>
      </c>
      <c r="CW94" s="239" t="inlineStr">
        <is>
          <t>1,49x</t>
        </is>
      </c>
      <c r="CX94" s="240" t="inlineStr">
        <is>
          <t>58</t>
        </is>
      </c>
      <c r="CY94" s="241" t="inlineStr">
        <is>
          <t>-0,02x</t>
        </is>
      </c>
      <c r="CZ94" s="242" t="inlineStr">
        <is>
          <t>-1,15%</t>
        </is>
      </c>
      <c r="DA94" s="243" t="inlineStr">
        <is>
          <t>2,10x</t>
        </is>
      </c>
      <c r="DB94" s="244" t="inlineStr">
        <is>
          <t>68</t>
        </is>
      </c>
      <c r="DC94" s="245" t="inlineStr">
        <is>
          <t>0,89x</t>
        </is>
      </c>
      <c r="DD94" s="246" t="inlineStr">
        <is>
          <t>46</t>
        </is>
      </c>
      <c r="DE94" s="247" t="inlineStr">
        <is>
          <t>0,15x</t>
        </is>
      </c>
      <c r="DF94" s="248" t="inlineStr">
        <is>
          <t>7</t>
        </is>
      </c>
      <c r="DG94" s="249" t="inlineStr">
        <is>
          <t>4,06x</t>
        </is>
      </c>
      <c r="DH94" s="250" t="inlineStr">
        <is>
          <t>76</t>
        </is>
      </c>
      <c r="DI94" s="251" t="inlineStr">
        <is>
          <t/>
        </is>
      </c>
      <c r="DJ94" s="252" t="inlineStr">
        <is>
          <t/>
        </is>
      </c>
      <c r="DK94" s="253" t="inlineStr">
        <is>
          <t>0,89x</t>
        </is>
      </c>
      <c r="DL94" s="254" t="inlineStr">
        <is>
          <t>48</t>
        </is>
      </c>
      <c r="DM94" s="255" t="inlineStr">
        <is>
          <t>55</t>
        </is>
      </c>
      <c r="DN94" s="256" t="inlineStr">
        <is>
          <t>-2</t>
        </is>
      </c>
      <c r="DO94" s="257" t="inlineStr">
        <is>
          <t>-3,51%</t>
        </is>
      </c>
      <c r="DP94" s="258" t="inlineStr">
        <is>
          <t/>
        </is>
      </c>
      <c r="DQ94" s="259" t="inlineStr">
        <is>
          <t/>
        </is>
      </c>
      <c r="DR94" s="260" t="inlineStr">
        <is>
          <t/>
        </is>
      </c>
      <c r="DS94" s="261" t="inlineStr">
        <is>
          <t>146</t>
        </is>
      </c>
      <c r="DT94" s="262" t="inlineStr">
        <is>
          <t>-2</t>
        </is>
      </c>
      <c r="DU94" s="263" t="inlineStr">
        <is>
          <t>-1,35%</t>
        </is>
      </c>
      <c r="DV94" s="264" t="inlineStr">
        <is>
          <t>331</t>
        </is>
      </c>
      <c r="DW94" s="265" t="inlineStr">
        <is>
          <t>1</t>
        </is>
      </c>
      <c r="DX94" s="266" t="inlineStr">
        <is>
          <t>0,30%</t>
        </is>
      </c>
      <c r="DY94" s="267" t="inlineStr">
        <is>
          <t>PitchBook Research</t>
        </is>
      </c>
      <c r="DZ94" s="786">
        <f>HYPERLINK("https://my.pitchbook.com?c=57334-51", "View company online")</f>
      </c>
    </row>
    <row r="95">
      <c r="A95" s="9" t="inlineStr">
        <is>
          <t>60309-28</t>
        </is>
      </c>
      <c r="B95" s="10" t="inlineStr">
        <is>
          <t>SmartKem</t>
        </is>
      </c>
      <c r="C95" s="11" t="inlineStr">
        <is>
          <t/>
        </is>
      </c>
      <c r="D95" s="12" t="inlineStr">
        <is>
          <t/>
        </is>
      </c>
      <c r="E95" s="13" t="inlineStr">
        <is>
          <t>60309-28</t>
        </is>
      </c>
      <c r="F95" s="14" t="inlineStr">
        <is>
          <t>Developer of printable semiconductor materials designed to help businesses with the manufacture of conformal, lightweight and low power thin film transistors. The company'S printable semiconductor materials are thin-film transistor (TFT) arrays that are use in conformal plastic display and electronic applications, enabling clients to avail low temperature processing on low cost polymer substrates.</t>
        </is>
      </c>
      <c r="G95" s="15" t="inlineStr">
        <is>
          <t>Information Technology</t>
        </is>
      </c>
      <c r="H95" s="16" t="inlineStr">
        <is>
          <t>Semiconductors</t>
        </is>
      </c>
      <c r="I95" s="17" t="inlineStr">
        <is>
          <t>Application Specific Semiconductors</t>
        </is>
      </c>
      <c r="J95" s="18" t="inlineStr">
        <is>
          <t>Application Specific Semiconductors*; Other Semiconductors</t>
        </is>
      </c>
      <c r="K95" s="19" t="inlineStr">
        <is>
          <t>Manufacturing</t>
        </is>
      </c>
      <c r="L95" s="20" t="inlineStr">
        <is>
          <t>Venture Capital-Backed</t>
        </is>
      </c>
      <c r="M95" s="21" t="n">
        <v>19.35</v>
      </c>
      <c r="N95" s="22" t="inlineStr">
        <is>
          <t>Generating Revenue</t>
        </is>
      </c>
      <c r="O95" s="23" t="inlineStr">
        <is>
          <t>Privately Held (backing)</t>
        </is>
      </c>
      <c r="P95" s="24" t="inlineStr">
        <is>
          <t>Venture Capital</t>
        </is>
      </c>
      <c r="Q95" s="25" t="inlineStr">
        <is>
          <t>www.smartkem.com</t>
        </is>
      </c>
      <c r="R95" s="26" t="n">
        <v>35.0</v>
      </c>
      <c r="S95" s="27" t="inlineStr">
        <is>
          <t/>
        </is>
      </c>
      <c r="T95" s="28" t="inlineStr">
        <is>
          <t/>
        </is>
      </c>
      <c r="U95" s="29" t="n">
        <v>2009.0</v>
      </c>
      <c r="V95" s="30" t="inlineStr">
        <is>
          <t/>
        </is>
      </c>
      <c r="W95" s="31" t="inlineStr">
        <is>
          <t/>
        </is>
      </c>
      <c r="X95" s="32" t="inlineStr">
        <is>
          <t/>
        </is>
      </c>
      <c r="Y95" s="33" t="n">
        <v>0.24806</v>
      </c>
      <c r="Z95" s="34" t="n">
        <v>0.24806</v>
      </c>
      <c r="AA95" s="35" t="n">
        <v>-3.41768</v>
      </c>
      <c r="AB95" s="36" t="inlineStr">
        <is>
          <t/>
        </is>
      </c>
      <c r="AC95" s="37" t="n">
        <v>-4.10672</v>
      </c>
      <c r="AD95" s="38" t="inlineStr">
        <is>
          <t>FY 2015</t>
        </is>
      </c>
      <c r="AE95" s="39" t="inlineStr">
        <is>
          <t>56603-08P</t>
        </is>
      </c>
      <c r="AF95" s="40" t="inlineStr">
        <is>
          <t>Steven Kelly</t>
        </is>
      </c>
      <c r="AG95" s="41" t="inlineStr">
        <is>
          <t>Board Member, Chief Executive Officer &amp; Founder</t>
        </is>
      </c>
      <c r="AH95" s="42" t="inlineStr">
        <is>
          <t>s.kelly@smartkem.com</t>
        </is>
      </c>
      <c r="AI95" s="43" t="inlineStr">
        <is>
          <t>+44 (0)17 4553 5190</t>
        </is>
      </c>
      <c r="AJ95" s="44" t="inlineStr">
        <is>
          <t>Saint Asaph, United Kingdom</t>
        </is>
      </c>
      <c r="AK95" s="45" t="inlineStr">
        <is>
          <t>Fford William Morgan</t>
        </is>
      </c>
      <c r="AL95" s="46" t="inlineStr">
        <is>
          <t>St Asaph Business Park</t>
        </is>
      </c>
      <c r="AM95" s="47" t="inlineStr">
        <is>
          <t>Saint Asaph</t>
        </is>
      </c>
      <c r="AN95" s="48" t="inlineStr">
        <is>
          <t>Wales</t>
        </is>
      </c>
      <c r="AO95" s="49" t="inlineStr">
        <is>
          <t>LL17 0JD</t>
        </is>
      </c>
      <c r="AP95" s="50" t="inlineStr">
        <is>
          <t>United Kingdom</t>
        </is>
      </c>
      <c r="AQ95" s="51" t="inlineStr">
        <is>
          <t>+44 (0)17 4553 5190</t>
        </is>
      </c>
      <c r="AR95" s="52" t="inlineStr">
        <is>
          <t/>
        </is>
      </c>
      <c r="AS95" s="53" t="inlineStr">
        <is>
          <t>enquiries@smartkem.com</t>
        </is>
      </c>
      <c r="AT95" s="54" t="inlineStr">
        <is>
          <t>Europe</t>
        </is>
      </c>
      <c r="AU95" s="55" t="inlineStr">
        <is>
          <t>Western Europe</t>
        </is>
      </c>
      <c r="AV95" s="56" t="inlineStr">
        <is>
          <t>The company raised GBP 3 million of Series A1 venture funding from Octopus Ventures, BASF Venture Capital and Entrepreneurs Fund on September 5, 2017. The fund will support the commercialisation of SmartKem's technology platform with its strategic partners in Asia. Previously, the company received EUR 1.8522 million of grant funding from Horizon 2020 and Octopus Ventures on September 5, 2016.</t>
        </is>
      </c>
      <c r="AW95" s="57" t="inlineStr">
        <is>
          <t>BASF Venture Capital, Development Bank of Wales, Entrepreneurs Fund, Horizon 2020, Individual Investor, Octopus Ventures, Porton Capital investment, Synergy Technologies, Welsh Assembly Government</t>
        </is>
      </c>
      <c r="AX95" s="58" t="n">
        <v>9.0</v>
      </c>
      <c r="AY95" s="59" t="inlineStr">
        <is>
          <t/>
        </is>
      </c>
      <c r="AZ95" s="60" t="inlineStr">
        <is>
          <t/>
        </is>
      </c>
      <c r="BA95" s="61" t="inlineStr">
        <is>
          <t/>
        </is>
      </c>
      <c r="BB95" s="62" t="inlineStr">
        <is>
          <t>BASF Venture Capital (www.basf-vc.de), Development Bank of Wales (www.developmentbank.wales), Entrepreneurs Fund (www.entrepreneursfund.com), Octopus Ventures (www.octopusventures.com), Porton Capital investment (www.portoncapital.com)</t>
        </is>
      </c>
      <c r="BC95" s="63" t="inlineStr">
        <is>
          <t/>
        </is>
      </c>
      <c r="BD95" s="64" t="inlineStr">
        <is>
          <t/>
        </is>
      </c>
      <c r="BE95" s="65" t="inlineStr">
        <is>
          <t>National Westminster Bank (Advisor: General), Grant Thornton UK (Auditor), Duet Partners (Advisor: General)</t>
        </is>
      </c>
      <c r="BF95" s="66" t="inlineStr">
        <is>
          <t>Kuit Steinart Levy (Legal Advisor)</t>
        </is>
      </c>
      <c r="BG95" s="67" t="n">
        <v>39814.0</v>
      </c>
      <c r="BH95" s="68" t="n">
        <v>0.16</v>
      </c>
      <c r="BI95" s="69" t="inlineStr">
        <is>
          <t>Actual</t>
        </is>
      </c>
      <c r="BJ95" s="70" t="n">
        <v>0.49</v>
      </c>
      <c r="BK95" s="71" t="inlineStr">
        <is>
          <t>Actual</t>
        </is>
      </c>
      <c r="BL95" s="72" t="inlineStr">
        <is>
          <t>Early Stage VC</t>
        </is>
      </c>
      <c r="BM95" s="73" t="inlineStr">
        <is>
          <t/>
        </is>
      </c>
      <c r="BN95" s="74" t="inlineStr">
        <is>
          <t/>
        </is>
      </c>
      <c r="BO95" s="75" t="inlineStr">
        <is>
          <t>Venture Capital</t>
        </is>
      </c>
      <c r="BP95" s="76" t="inlineStr">
        <is>
          <t/>
        </is>
      </c>
      <c r="BQ95" s="77" t="inlineStr">
        <is>
          <t/>
        </is>
      </c>
      <c r="BR95" s="78" t="inlineStr">
        <is>
          <t/>
        </is>
      </c>
      <c r="BS95" s="79" t="inlineStr">
        <is>
          <t>Completed</t>
        </is>
      </c>
      <c r="BT95" s="80" t="n">
        <v>42983.0</v>
      </c>
      <c r="BU95" s="81" t="n">
        <v>3.35</v>
      </c>
      <c r="BV95" s="82" t="inlineStr">
        <is>
          <t>Actual</t>
        </is>
      </c>
      <c r="BW95" s="83" t="inlineStr">
        <is>
          <t/>
        </is>
      </c>
      <c r="BX95" s="84" t="inlineStr">
        <is>
          <t/>
        </is>
      </c>
      <c r="BY95" s="85" t="inlineStr">
        <is>
          <t>Later Stage VC</t>
        </is>
      </c>
      <c r="BZ95" s="86" t="inlineStr">
        <is>
          <t>Series A1</t>
        </is>
      </c>
      <c r="CA95" s="87" t="inlineStr">
        <is>
          <t/>
        </is>
      </c>
      <c r="CB95" s="88" t="inlineStr">
        <is>
          <t>Venture Capital</t>
        </is>
      </c>
      <c r="CC95" s="89" t="inlineStr">
        <is>
          <t/>
        </is>
      </c>
      <c r="CD95" s="90" t="inlineStr">
        <is>
          <t/>
        </is>
      </c>
      <c r="CE95" s="91" t="inlineStr">
        <is>
          <t/>
        </is>
      </c>
      <c r="CF95" s="92" t="inlineStr">
        <is>
          <t>Completed</t>
        </is>
      </c>
      <c r="CG95" s="93" t="inlineStr">
        <is>
          <t>0,74%</t>
        </is>
      </c>
      <c r="CH95" s="94" t="inlineStr">
        <is>
          <t>94</t>
        </is>
      </c>
      <c r="CI95" s="95" t="inlineStr">
        <is>
          <t>0,22%</t>
        </is>
      </c>
      <c r="CJ95" s="96" t="inlineStr">
        <is>
          <t>43,32%</t>
        </is>
      </c>
      <c r="CK95" s="97" t="inlineStr">
        <is>
          <t>-0,04%</t>
        </is>
      </c>
      <c r="CL95" s="98" t="inlineStr">
        <is>
          <t>28</t>
        </is>
      </c>
      <c r="CM95" s="99" t="inlineStr">
        <is>
          <t>1,51%</t>
        </is>
      </c>
      <c r="CN95" s="100" t="inlineStr">
        <is>
          <t>98</t>
        </is>
      </c>
      <c r="CO95" s="101" t="inlineStr">
        <is>
          <t/>
        </is>
      </c>
      <c r="CP95" s="102" t="inlineStr">
        <is>
          <t/>
        </is>
      </c>
      <c r="CQ95" s="103" t="inlineStr">
        <is>
          <t>-0,04%</t>
        </is>
      </c>
      <c r="CR95" s="104" t="inlineStr">
        <is>
          <t>20</t>
        </is>
      </c>
      <c r="CS95" s="105" t="inlineStr">
        <is>
          <t/>
        </is>
      </c>
      <c r="CT95" s="106" t="inlineStr">
        <is>
          <t/>
        </is>
      </c>
      <c r="CU95" s="107" t="inlineStr">
        <is>
          <t>1,51%</t>
        </is>
      </c>
      <c r="CV95" s="108" t="inlineStr">
        <is>
          <t>98</t>
        </is>
      </c>
      <c r="CW95" s="109" t="inlineStr">
        <is>
          <t>2,23x</t>
        </is>
      </c>
      <c r="CX95" s="110" t="inlineStr">
        <is>
          <t>67</t>
        </is>
      </c>
      <c r="CY95" s="111" t="inlineStr">
        <is>
          <t>0,03x</t>
        </is>
      </c>
      <c r="CZ95" s="112" t="inlineStr">
        <is>
          <t>1,29%</t>
        </is>
      </c>
      <c r="DA95" s="113" t="inlineStr">
        <is>
          <t>2,75x</t>
        </is>
      </c>
      <c r="DB95" s="114" t="inlineStr">
        <is>
          <t>72</t>
        </is>
      </c>
      <c r="DC95" s="115" t="inlineStr">
        <is>
          <t>1,72x</t>
        </is>
      </c>
      <c r="DD95" s="116" t="inlineStr">
        <is>
          <t>59</t>
        </is>
      </c>
      <c r="DE95" s="117" t="inlineStr">
        <is>
          <t/>
        </is>
      </c>
      <c r="DF95" s="118" t="inlineStr">
        <is>
          <t/>
        </is>
      </c>
      <c r="DG95" s="119" t="inlineStr">
        <is>
          <t>2,75x</t>
        </is>
      </c>
      <c r="DH95" s="120" t="inlineStr">
        <is>
          <t>70</t>
        </is>
      </c>
      <c r="DI95" s="121" t="inlineStr">
        <is>
          <t/>
        </is>
      </c>
      <c r="DJ95" s="122" t="inlineStr">
        <is>
          <t/>
        </is>
      </c>
      <c r="DK95" s="123" t="inlineStr">
        <is>
          <t>1,72x</t>
        </is>
      </c>
      <c r="DL95" s="124" t="inlineStr">
        <is>
          <t>61</t>
        </is>
      </c>
      <c r="DM95" s="125" t="inlineStr">
        <is>
          <t/>
        </is>
      </c>
      <c r="DN95" s="126" t="inlineStr">
        <is>
          <t/>
        </is>
      </c>
      <c r="DO95" s="127" t="inlineStr">
        <is>
          <t/>
        </is>
      </c>
      <c r="DP95" s="128" t="inlineStr">
        <is>
          <t/>
        </is>
      </c>
      <c r="DQ95" s="129" t="inlineStr">
        <is>
          <t/>
        </is>
      </c>
      <c r="DR95" s="130" t="inlineStr">
        <is>
          <t/>
        </is>
      </c>
      <c r="DS95" s="131" t="inlineStr">
        <is>
          <t>99</t>
        </is>
      </c>
      <c r="DT95" s="132" t="inlineStr">
        <is>
          <t>0</t>
        </is>
      </c>
      <c r="DU95" s="133" t="inlineStr">
        <is>
          <t>0,00%</t>
        </is>
      </c>
      <c r="DV95" s="134" t="inlineStr">
        <is>
          <t>630</t>
        </is>
      </c>
      <c r="DW95" s="135" t="inlineStr">
        <is>
          <t>16</t>
        </is>
      </c>
      <c r="DX95" s="136" t="inlineStr">
        <is>
          <t>2,61%</t>
        </is>
      </c>
      <c r="DY95" s="137" t="inlineStr">
        <is>
          <t>PitchBook Research</t>
        </is>
      </c>
      <c r="DZ95" s="785">
        <f>HYPERLINK("https://my.pitchbook.com?c=60309-28", "View company online")</f>
      </c>
    </row>
    <row r="96">
      <c r="A96" s="139" t="inlineStr">
        <is>
          <t>57723-94</t>
        </is>
      </c>
      <c r="B96" s="140" t="inlineStr">
        <is>
          <t>Cristal Therapeutics</t>
        </is>
      </c>
      <c r="C96" s="141" t="inlineStr">
        <is>
          <t>Cristal Delivery</t>
        </is>
      </c>
      <c r="D96" s="142" t="inlineStr">
        <is>
          <t/>
        </is>
      </c>
      <c r="E96" s="143" t="inlineStr">
        <is>
          <t>57723-94</t>
        </is>
      </c>
      <c r="F96" s="144" t="inlineStr">
        <is>
          <t>Developer of nanomedicines based on polymeric technologies. The company's therapies are designed against cancer and chronic inflammatory disorders, employing nanoparticle technology and aim at improving therapeutic performance of drugs.</t>
        </is>
      </c>
      <c r="G96" s="145" t="inlineStr">
        <is>
          <t>Healthcare</t>
        </is>
      </c>
      <c r="H96" s="146" t="inlineStr">
        <is>
          <t>Pharmaceuticals and Biotechnology</t>
        </is>
      </c>
      <c r="I96" s="147" t="inlineStr">
        <is>
          <t>Drug Discovery</t>
        </is>
      </c>
      <c r="J96" s="148" t="inlineStr">
        <is>
          <t>Drug Discovery*; Biotechnology</t>
        </is>
      </c>
      <c r="K96" s="149" t="inlineStr">
        <is>
          <t>Life Sciences, Nanotechnology, Oncology</t>
        </is>
      </c>
      <c r="L96" s="150" t="inlineStr">
        <is>
          <t>Venture Capital-Backed</t>
        </is>
      </c>
      <c r="M96" s="151" t="n">
        <v>18.8</v>
      </c>
      <c r="N96" s="152" t="inlineStr">
        <is>
          <t>Clinical Trials - Phase 1</t>
        </is>
      </c>
      <c r="O96" s="153" t="inlineStr">
        <is>
          <t>Privately Held (backing)</t>
        </is>
      </c>
      <c r="P96" s="154" t="inlineStr">
        <is>
          <t>Venture Capital</t>
        </is>
      </c>
      <c r="Q96" s="155" t="inlineStr">
        <is>
          <t>www.cristaltherapeutics.com</t>
        </is>
      </c>
      <c r="R96" s="156" t="n">
        <v>8.0</v>
      </c>
      <c r="S96" s="157" t="inlineStr">
        <is>
          <t/>
        </is>
      </c>
      <c r="T96" s="158" t="inlineStr">
        <is>
          <t/>
        </is>
      </c>
      <c r="U96" s="159" t="n">
        <v>2011.0</v>
      </c>
      <c r="V96" s="160" t="inlineStr">
        <is>
          <t/>
        </is>
      </c>
      <c r="W96" s="161" t="inlineStr">
        <is>
          <t/>
        </is>
      </c>
      <c r="X96" s="162" t="inlineStr">
        <is>
          <t/>
        </is>
      </c>
      <c r="Y96" s="163" t="inlineStr">
        <is>
          <t/>
        </is>
      </c>
      <c r="Z96" s="164" t="inlineStr">
        <is>
          <t/>
        </is>
      </c>
      <c r="AA96" s="165" t="inlineStr">
        <is>
          <t/>
        </is>
      </c>
      <c r="AB96" s="166" t="inlineStr">
        <is>
          <t/>
        </is>
      </c>
      <c r="AC96" s="167" t="inlineStr">
        <is>
          <t/>
        </is>
      </c>
      <c r="AD96" s="168" t="inlineStr">
        <is>
          <t/>
        </is>
      </c>
      <c r="AE96" s="169" t="inlineStr">
        <is>
          <t>51418-90P</t>
        </is>
      </c>
      <c r="AF96" s="170" t="inlineStr">
        <is>
          <t>Cristianne Rijcken</t>
        </is>
      </c>
      <c r="AG96" s="171" t="inlineStr">
        <is>
          <t>Co-Founder, Chief Scientific Officer and Co-Inventor</t>
        </is>
      </c>
      <c r="AH96" s="172" t="inlineStr">
        <is>
          <t>cristianne.rijcken@cristaltherapeutics.com</t>
        </is>
      </c>
      <c r="AI96" s="173" t="inlineStr">
        <is>
          <t>+31 (0)43 388 5868</t>
        </is>
      </c>
      <c r="AJ96" s="174" t="inlineStr">
        <is>
          <t>Maastricht, Netherlands</t>
        </is>
      </c>
      <c r="AK96" s="175" t="inlineStr">
        <is>
          <t>Oxfordlaan 55</t>
        </is>
      </c>
      <c r="AL96" s="176" t="inlineStr">
        <is>
          <t/>
        </is>
      </c>
      <c r="AM96" s="177" t="inlineStr">
        <is>
          <t>Maastricht</t>
        </is>
      </c>
      <c r="AN96" s="178" t="inlineStr">
        <is>
          <t/>
        </is>
      </c>
      <c r="AO96" s="179" t="inlineStr">
        <is>
          <t>6229 EV</t>
        </is>
      </c>
      <c r="AP96" s="180" t="inlineStr">
        <is>
          <t>Netherlands</t>
        </is>
      </c>
      <c r="AQ96" s="181" t="inlineStr">
        <is>
          <t>+31 (0)43 388 5868</t>
        </is>
      </c>
      <c r="AR96" s="182" t="inlineStr">
        <is>
          <t/>
        </is>
      </c>
      <c r="AS96" s="183" t="inlineStr">
        <is>
          <t>info@cristaltherapeutics.com</t>
        </is>
      </c>
      <c r="AT96" s="184" t="inlineStr">
        <is>
          <t>Europe</t>
        </is>
      </c>
      <c r="AU96" s="185" t="inlineStr">
        <is>
          <t>Western Europe</t>
        </is>
      </c>
      <c r="AV96" s="186" t="inlineStr">
        <is>
          <t>The company raised EUR 12.8 million of venture funding in a deal co-led by Aglaia BioMedical Ventures and DROIA on January 19, 2017. BOM, LIOF, LBDF, Chemelot Ventures, BioGeneration Ventures and Utrecht University Holding also participated in the round. The company intends to use the funds to continue and accelerate the clinical development of its lead CriPec candidate by executing a clinical phase Ib trial, followed by a clinical phase II trial starting later in 2017 and to intensify development of its nanotech platform.</t>
        </is>
      </c>
      <c r="AW96" s="187" t="inlineStr">
        <is>
          <t>Aglaia Biomedical Ventures, BioGeneration Ventures, Brabantse Ontwikkelings Maatschappij, Chemelot Ventures, DPI Value Centre, Droia Oncology Ventures, Innovatie Fonds Limburg, Innovation Kredit, Limburg Business Development Fund, Limburgs Energie Fonds, LIOF Nedermaas High Tech Ventures, Mibiton, MIT (Massachusetts Institute of Technology), Netherlands Organization for Scientific Research, Netherlands Proteomics Centre, STW Technology Foundation, Thuja Capital Management, Utrecht Holdings, Utrechtinc</t>
        </is>
      </c>
      <c r="AX96" s="188" t="n">
        <v>19.0</v>
      </c>
      <c r="AY96" s="189" t="inlineStr">
        <is>
          <t/>
        </is>
      </c>
      <c r="AZ96" s="190" t="inlineStr">
        <is>
          <t/>
        </is>
      </c>
      <c r="BA96" s="191" t="inlineStr">
        <is>
          <t/>
        </is>
      </c>
      <c r="BB96" s="192" t="inlineStr">
        <is>
          <t>Aglaia Biomedical Ventures (www.aglaia-biomedical.com), BioGeneration Ventures (www.biogenerationventures.com), Brabantse Ontwikkelings Maatschappij (www.bom.nl), Chemelot Ventures (www.chemelotventures.com), DPI Value Centre (www.dpivaluecentre.nl), Droia Oncology Ventures (www.droia.be), Limburg Business Development Fund (www.liof-lbdf.nl), LIOF Nedermaas High Tech Ventures (www.liof-nedermaasventures.nl), Thuja Capital Management (www.thujacapital.com), Utrecht Holdings (www.utrechtholdings.nl), Utrechtinc (www.utrechtinc.nl)</t>
        </is>
      </c>
      <c r="BC96" s="193" t="inlineStr">
        <is>
          <t/>
        </is>
      </c>
      <c r="BD96" s="194" t="inlineStr">
        <is>
          <t/>
        </is>
      </c>
      <c r="BE96" s="195" t="inlineStr">
        <is>
          <t/>
        </is>
      </c>
      <c r="BF96" s="196" t="inlineStr">
        <is>
          <t>Limburg Business Development Fund (Debt Financing), Ingen Housz (Advisor: General)</t>
        </is>
      </c>
      <c r="BG96" s="197" t="n">
        <v>41456.0</v>
      </c>
      <c r="BH96" s="198" t="inlineStr">
        <is>
          <t/>
        </is>
      </c>
      <c r="BI96" s="199" t="inlineStr">
        <is>
          <t/>
        </is>
      </c>
      <c r="BJ96" s="200" t="inlineStr">
        <is>
          <t/>
        </is>
      </c>
      <c r="BK96" s="201" t="inlineStr">
        <is>
          <t/>
        </is>
      </c>
      <c r="BL96" s="202" t="inlineStr">
        <is>
          <t>Early Stage VC</t>
        </is>
      </c>
      <c r="BM96" s="203" t="inlineStr">
        <is>
          <t/>
        </is>
      </c>
      <c r="BN96" s="204" t="inlineStr">
        <is>
          <t/>
        </is>
      </c>
      <c r="BO96" s="205" t="inlineStr">
        <is>
          <t>Venture Capital</t>
        </is>
      </c>
      <c r="BP96" s="206" t="inlineStr">
        <is>
          <t/>
        </is>
      </c>
      <c r="BQ96" s="207" t="inlineStr">
        <is>
          <t/>
        </is>
      </c>
      <c r="BR96" s="208" t="inlineStr">
        <is>
          <t/>
        </is>
      </c>
      <c r="BS96" s="209" t="inlineStr">
        <is>
          <t>Completed</t>
        </is>
      </c>
      <c r="BT96" s="210" t="n">
        <v>42754.0</v>
      </c>
      <c r="BU96" s="211" t="n">
        <v>12.8</v>
      </c>
      <c r="BV96" s="212" t="inlineStr">
        <is>
          <t>Actual</t>
        </is>
      </c>
      <c r="BW96" s="213" t="inlineStr">
        <is>
          <t/>
        </is>
      </c>
      <c r="BX96" s="214" t="inlineStr">
        <is>
          <t/>
        </is>
      </c>
      <c r="BY96" s="215" t="inlineStr">
        <is>
          <t>Later Stage VC</t>
        </is>
      </c>
      <c r="BZ96" s="216" t="inlineStr">
        <is>
          <t/>
        </is>
      </c>
      <c r="CA96" s="217" t="inlineStr">
        <is>
          <t/>
        </is>
      </c>
      <c r="CB96" s="218" t="inlineStr">
        <is>
          <t>Venture Capital</t>
        </is>
      </c>
      <c r="CC96" s="219" t="inlineStr">
        <is>
          <t/>
        </is>
      </c>
      <c r="CD96" s="220" t="inlineStr">
        <is>
          <t/>
        </is>
      </c>
      <c r="CE96" s="221" t="inlineStr">
        <is>
          <t/>
        </is>
      </c>
      <c r="CF96" s="222" t="inlineStr">
        <is>
          <t>Completed</t>
        </is>
      </c>
      <c r="CG96" s="223" t="inlineStr">
        <is>
          <t>0,00%</t>
        </is>
      </c>
      <c r="CH96" s="224" t="inlineStr">
        <is>
          <t>33</t>
        </is>
      </c>
      <c r="CI96" s="225" t="inlineStr">
        <is>
          <t>0,00%</t>
        </is>
      </c>
      <c r="CJ96" s="226" t="inlineStr">
        <is>
          <t>0,00%</t>
        </is>
      </c>
      <c r="CK96" s="227" t="inlineStr">
        <is>
          <t>0,00%</t>
        </is>
      </c>
      <c r="CL96" s="228" t="inlineStr">
        <is>
          <t>28</t>
        </is>
      </c>
      <c r="CM96" s="229" t="inlineStr">
        <is>
          <t>0,00%</t>
        </is>
      </c>
      <c r="CN96" s="230" t="inlineStr">
        <is>
          <t>20</t>
        </is>
      </c>
      <c r="CO96" s="231" t="inlineStr">
        <is>
          <t>0,00%</t>
        </is>
      </c>
      <c r="CP96" s="232" t="inlineStr">
        <is>
          <t>37</t>
        </is>
      </c>
      <c r="CQ96" s="233" t="inlineStr">
        <is>
          <t>0,00%</t>
        </is>
      </c>
      <c r="CR96" s="234" t="inlineStr">
        <is>
          <t>20</t>
        </is>
      </c>
      <c r="CS96" s="235" t="inlineStr">
        <is>
          <t/>
        </is>
      </c>
      <c r="CT96" s="236" t="inlineStr">
        <is>
          <t/>
        </is>
      </c>
      <c r="CU96" s="237" t="inlineStr">
        <is>
          <t>0,00%</t>
        </is>
      </c>
      <c r="CV96" s="238" t="inlineStr">
        <is>
          <t>21</t>
        </is>
      </c>
      <c r="CW96" s="239" t="inlineStr">
        <is>
          <t>0,60x</t>
        </is>
      </c>
      <c r="CX96" s="240" t="inlineStr">
        <is>
          <t>37</t>
        </is>
      </c>
      <c r="CY96" s="241" t="inlineStr">
        <is>
          <t>0,01x</t>
        </is>
      </c>
      <c r="CZ96" s="242" t="inlineStr">
        <is>
          <t>1,00%</t>
        </is>
      </c>
      <c r="DA96" s="243" t="inlineStr">
        <is>
          <t>1,02x</t>
        </is>
      </c>
      <c r="DB96" s="244" t="inlineStr">
        <is>
          <t>52</t>
        </is>
      </c>
      <c r="DC96" s="245" t="inlineStr">
        <is>
          <t>0,18x</t>
        </is>
      </c>
      <c r="DD96" s="246" t="inlineStr">
        <is>
          <t>20</t>
        </is>
      </c>
      <c r="DE96" s="247" t="inlineStr">
        <is>
          <t>0,96x</t>
        </is>
      </c>
      <c r="DF96" s="248" t="inlineStr">
        <is>
          <t>49</t>
        </is>
      </c>
      <c r="DG96" s="249" t="inlineStr">
        <is>
          <t>1,08x</t>
        </is>
      </c>
      <c r="DH96" s="250" t="inlineStr">
        <is>
          <t>52</t>
        </is>
      </c>
      <c r="DI96" s="251" t="inlineStr">
        <is>
          <t/>
        </is>
      </c>
      <c r="DJ96" s="252" t="inlineStr">
        <is>
          <t/>
        </is>
      </c>
      <c r="DK96" s="253" t="inlineStr">
        <is>
          <t>0,18x</t>
        </is>
      </c>
      <c r="DL96" s="254" t="inlineStr">
        <is>
          <t>23</t>
        </is>
      </c>
      <c r="DM96" s="255" t="inlineStr">
        <is>
          <t>348</t>
        </is>
      </c>
      <c r="DN96" s="256" t="inlineStr">
        <is>
          <t>22</t>
        </is>
      </c>
      <c r="DO96" s="257" t="inlineStr">
        <is>
          <t>6,75%</t>
        </is>
      </c>
      <c r="DP96" s="258" t="inlineStr">
        <is>
          <t/>
        </is>
      </c>
      <c r="DQ96" s="259" t="inlineStr">
        <is>
          <t/>
        </is>
      </c>
      <c r="DR96" s="260" t="inlineStr">
        <is>
          <t/>
        </is>
      </c>
      <c r="DS96" s="261" t="inlineStr">
        <is>
          <t>38</t>
        </is>
      </c>
      <c r="DT96" s="262" t="inlineStr">
        <is>
          <t>0</t>
        </is>
      </c>
      <c r="DU96" s="263" t="inlineStr">
        <is>
          <t>0,00%</t>
        </is>
      </c>
      <c r="DV96" s="264" t="inlineStr">
        <is>
          <t>68</t>
        </is>
      </c>
      <c r="DW96" s="265" t="inlineStr">
        <is>
          <t>1</t>
        </is>
      </c>
      <c r="DX96" s="266" t="inlineStr">
        <is>
          <t>1,49%</t>
        </is>
      </c>
      <c r="DY96" s="267" t="inlineStr">
        <is>
          <t>PitchBook Research</t>
        </is>
      </c>
      <c r="DZ96" s="786">
        <f>HYPERLINK("https://my.pitchbook.com?c=57723-94", "View company online")</f>
      </c>
    </row>
    <row r="97">
      <c r="A97" s="9" t="inlineStr">
        <is>
          <t>56173-87</t>
        </is>
      </c>
      <c r="B97" s="10" t="inlineStr">
        <is>
          <t>Crealytics</t>
        </is>
      </c>
      <c r="C97" s="11" t="inlineStr">
        <is>
          <t/>
        </is>
      </c>
      <c r="D97" s="12" t="inlineStr">
        <is>
          <t/>
        </is>
      </c>
      <c r="E97" s="13" t="inlineStr">
        <is>
          <t>56173-87</t>
        </is>
      </c>
      <c r="F97" s="14" t="inlineStr">
        <is>
          <t>Provider of market leading semantic technology created to offer product advertising services. The company's market leading semantic technology automatically creates and optimizes millions of tailor-made advertisements and provides paid search globally in more than 20 languages, enabling e-commerce companies to drive their performance in product advertising.</t>
        </is>
      </c>
      <c r="G97" s="15" t="inlineStr">
        <is>
          <t>Information Technology</t>
        </is>
      </c>
      <c r="H97" s="16" t="inlineStr">
        <is>
          <t>Software</t>
        </is>
      </c>
      <c r="I97" s="17" t="inlineStr">
        <is>
          <t>Business/Productivity Software</t>
        </is>
      </c>
      <c r="J97" s="18" t="inlineStr">
        <is>
          <t>Business/Productivity Software*; Media and Information Services (B2B); Application Software</t>
        </is>
      </c>
      <c r="K97" s="19" t="inlineStr">
        <is>
          <t>AdTech</t>
        </is>
      </c>
      <c r="L97" s="20" t="inlineStr">
        <is>
          <t>Venture Capital-Backed</t>
        </is>
      </c>
      <c r="M97" s="21" t="n">
        <v>18.7</v>
      </c>
      <c r="N97" s="22" t="inlineStr">
        <is>
          <t>Generating Revenue</t>
        </is>
      </c>
      <c r="O97" s="23" t="inlineStr">
        <is>
          <t>Privately Held (backing)</t>
        </is>
      </c>
      <c r="P97" s="24" t="inlineStr">
        <is>
          <t>Venture Capital</t>
        </is>
      </c>
      <c r="Q97" s="25" t="inlineStr">
        <is>
          <t>www.crealytics.com</t>
        </is>
      </c>
      <c r="R97" s="26" t="n">
        <v>78.0</v>
      </c>
      <c r="S97" s="27" t="inlineStr">
        <is>
          <t/>
        </is>
      </c>
      <c r="T97" s="28" t="inlineStr">
        <is>
          <t/>
        </is>
      </c>
      <c r="U97" s="29" t="n">
        <v>2008.0</v>
      </c>
      <c r="V97" s="30" t="inlineStr">
        <is>
          <t/>
        </is>
      </c>
      <c r="W97" s="31" t="inlineStr">
        <is>
          <t/>
        </is>
      </c>
      <c r="X97" s="32" t="inlineStr">
        <is>
          <t/>
        </is>
      </c>
      <c r="Y97" s="33" t="inlineStr">
        <is>
          <t/>
        </is>
      </c>
      <c r="Z97" s="34" t="n">
        <v>5.8849</v>
      </c>
      <c r="AA97" s="35" t="n">
        <v>2.37019</v>
      </c>
      <c r="AB97" s="36" t="inlineStr">
        <is>
          <t/>
        </is>
      </c>
      <c r="AC97" s="37" t="n">
        <v>2.52442</v>
      </c>
      <c r="AD97" s="38" t="inlineStr">
        <is>
          <t>FY 2014</t>
        </is>
      </c>
      <c r="AE97" s="39" t="inlineStr">
        <is>
          <t>56800-63P</t>
        </is>
      </c>
      <c r="AF97" s="40" t="inlineStr">
        <is>
          <t>Rainer Schwarz</t>
        </is>
      </c>
      <c r="AG97" s="41" t="inlineStr">
        <is>
          <t>Chief Financial Officer &amp; Management Partner</t>
        </is>
      </c>
      <c r="AH97" s="42" t="inlineStr">
        <is>
          <t>rainerschwarz@packlink.es</t>
        </is>
      </c>
      <c r="AI97" s="43" t="inlineStr">
        <is>
          <t/>
        </is>
      </c>
      <c r="AJ97" s="44" t="inlineStr">
        <is>
          <t>Passau, Germany</t>
        </is>
      </c>
      <c r="AK97" s="45" t="inlineStr">
        <is>
          <t>Brunngasse 1</t>
        </is>
      </c>
      <c r="AL97" s="46" t="inlineStr">
        <is>
          <t/>
        </is>
      </c>
      <c r="AM97" s="47" t="inlineStr">
        <is>
          <t>Passau</t>
        </is>
      </c>
      <c r="AN97" s="48" t="inlineStr">
        <is>
          <t/>
        </is>
      </c>
      <c r="AO97" s="49" t="inlineStr">
        <is>
          <t>94032</t>
        </is>
      </c>
      <c r="AP97" s="50" t="inlineStr">
        <is>
          <t>Germany</t>
        </is>
      </c>
      <c r="AQ97" s="51" t="inlineStr">
        <is>
          <t>+49 (0)85 1213 7280</t>
        </is>
      </c>
      <c r="AR97" s="52" t="inlineStr">
        <is>
          <t/>
        </is>
      </c>
      <c r="AS97" s="53" t="inlineStr">
        <is>
          <t>info@crealytics.com</t>
        </is>
      </c>
      <c r="AT97" s="54" t="inlineStr">
        <is>
          <t>Europe</t>
        </is>
      </c>
      <c r="AU97" s="55" t="inlineStr">
        <is>
          <t>Western Europe</t>
        </is>
      </c>
      <c r="AV97" s="56" t="inlineStr">
        <is>
          <t>The company raised $9.3 million of Series C venture funding in a deal led by Optima on March 9, 2017. Alstin, LBBW Venture Capital, High-Tech Gründerfonds, Mountain Partners, Bayern Kapital and Chancenkapital Biberach also participated in the round. The company will use the funds to address the interdependencies of inventory, pricing and bidding across multiple advertising channels. Previously, the company joined German Accelerator as part of its New York City program on April 14, 2016.</t>
        </is>
      </c>
      <c r="AW97" s="57" t="inlineStr">
        <is>
          <t>Alstin, Bayerische Beteiligungsgesellschaft, Bayern Kapital, Chancenkapital Biberach, German Accelerator, High-Tech Gründerfonds, LBBW Venture Capital, Logan Capital, Mountain Partners, Optima</t>
        </is>
      </c>
      <c r="AX97" s="58" t="n">
        <v>10.0</v>
      </c>
      <c r="AY97" s="59" t="inlineStr">
        <is>
          <t/>
        </is>
      </c>
      <c r="AZ97" s="60" t="inlineStr">
        <is>
          <t/>
        </is>
      </c>
      <c r="BA97" s="61" t="inlineStr">
        <is>
          <t/>
        </is>
      </c>
      <c r="BB97" s="62" t="inlineStr">
        <is>
          <t>Alstin (www.alstin.de), Bayerische Beteiligungsgesellschaft (www.baybg.de), Bayern Kapital (www.bayernkapital.de), German Accelerator (www.germanaccelerator.com), High-Tech Gründerfonds (www.high-tech-gruenderfonds.de), LBBW Venture Capital (www.lbbw-venture.de), Logan Capital (www.super-angel.ch), Mountain Partners (www.mountain.partners), Optima (www.optima.be)</t>
        </is>
      </c>
      <c r="BC97" s="63" t="inlineStr">
        <is>
          <t/>
        </is>
      </c>
      <c r="BD97" s="64" t="inlineStr">
        <is>
          <t/>
        </is>
      </c>
      <c r="BE97" s="65" t="inlineStr">
        <is>
          <t/>
        </is>
      </c>
      <c r="BF97" s="66" t="inlineStr">
        <is>
          <t>LD&amp;A Jupiter (Advisor: General)</t>
        </is>
      </c>
      <c r="BG97" s="67" t="n">
        <v>40203.0</v>
      </c>
      <c r="BH97" s="68" t="inlineStr">
        <is>
          <t/>
        </is>
      </c>
      <c r="BI97" s="69" t="inlineStr">
        <is>
          <t/>
        </is>
      </c>
      <c r="BJ97" s="70" t="inlineStr">
        <is>
          <t/>
        </is>
      </c>
      <c r="BK97" s="71" t="inlineStr">
        <is>
          <t/>
        </is>
      </c>
      <c r="BL97" s="72" t="inlineStr">
        <is>
          <t>Seed Round</t>
        </is>
      </c>
      <c r="BM97" s="73" t="inlineStr">
        <is>
          <t>Seed</t>
        </is>
      </c>
      <c r="BN97" s="74" t="inlineStr">
        <is>
          <t/>
        </is>
      </c>
      <c r="BO97" s="75" t="inlineStr">
        <is>
          <t>Venture Capital</t>
        </is>
      </c>
      <c r="BP97" s="76" t="inlineStr">
        <is>
          <t/>
        </is>
      </c>
      <c r="BQ97" s="77" t="inlineStr">
        <is>
          <t/>
        </is>
      </c>
      <c r="BR97" s="78" t="inlineStr">
        <is>
          <t/>
        </is>
      </c>
      <c r="BS97" s="79" t="inlineStr">
        <is>
          <t>Completed</t>
        </is>
      </c>
      <c r="BT97" s="80" t="n">
        <v>42803.0</v>
      </c>
      <c r="BU97" s="81" t="n">
        <v>8.7</v>
      </c>
      <c r="BV97" s="82" t="inlineStr">
        <is>
          <t>Actual</t>
        </is>
      </c>
      <c r="BW97" s="83" t="inlineStr">
        <is>
          <t/>
        </is>
      </c>
      <c r="BX97" s="84" t="inlineStr">
        <is>
          <t/>
        </is>
      </c>
      <c r="BY97" s="85" t="inlineStr">
        <is>
          <t>Later Stage VC</t>
        </is>
      </c>
      <c r="BZ97" s="86" t="inlineStr">
        <is>
          <t>Series C</t>
        </is>
      </c>
      <c r="CA97" s="87" t="inlineStr">
        <is>
          <t/>
        </is>
      </c>
      <c r="CB97" s="88" t="inlineStr">
        <is>
          <t>Venture Capital</t>
        </is>
      </c>
      <c r="CC97" s="89" t="inlineStr">
        <is>
          <t/>
        </is>
      </c>
      <c r="CD97" s="90" t="inlineStr">
        <is>
          <t/>
        </is>
      </c>
      <c r="CE97" s="91" t="inlineStr">
        <is>
          <t/>
        </is>
      </c>
      <c r="CF97" s="92" t="inlineStr">
        <is>
          <t>Completed</t>
        </is>
      </c>
      <c r="CG97" s="93" t="inlineStr">
        <is>
          <t>-3,99%</t>
        </is>
      </c>
      <c r="CH97" s="94" t="inlineStr">
        <is>
          <t>5</t>
        </is>
      </c>
      <c r="CI97" s="95" t="inlineStr">
        <is>
          <t>-0,06%</t>
        </is>
      </c>
      <c r="CJ97" s="96" t="inlineStr">
        <is>
          <t>-1,63%</t>
        </is>
      </c>
      <c r="CK97" s="97" t="inlineStr">
        <is>
          <t>-8,13%</t>
        </is>
      </c>
      <c r="CL97" s="98" t="inlineStr">
        <is>
          <t>5</t>
        </is>
      </c>
      <c r="CM97" s="99" t="inlineStr">
        <is>
          <t>0,15%</t>
        </is>
      </c>
      <c r="CN97" s="100" t="inlineStr">
        <is>
          <t>66</t>
        </is>
      </c>
      <c r="CO97" s="101" t="inlineStr">
        <is>
          <t>-14,05%</t>
        </is>
      </c>
      <c r="CP97" s="102" t="inlineStr">
        <is>
          <t>9</t>
        </is>
      </c>
      <c r="CQ97" s="103" t="inlineStr">
        <is>
          <t>-2,22%</t>
        </is>
      </c>
      <c r="CR97" s="104" t="inlineStr">
        <is>
          <t>3</t>
        </is>
      </c>
      <c r="CS97" s="105" t="inlineStr">
        <is>
          <t>0,05%</t>
        </is>
      </c>
      <c r="CT97" s="106" t="inlineStr">
        <is>
          <t>48</t>
        </is>
      </c>
      <c r="CU97" s="107" t="inlineStr">
        <is>
          <t>0,26%</t>
        </is>
      </c>
      <c r="CV97" s="108" t="inlineStr">
        <is>
          <t>81</t>
        </is>
      </c>
      <c r="CW97" s="109" t="inlineStr">
        <is>
          <t>4,09x</t>
        </is>
      </c>
      <c r="CX97" s="110" t="inlineStr">
        <is>
          <t>77</t>
        </is>
      </c>
      <c r="CY97" s="111" t="inlineStr">
        <is>
          <t>-0,06x</t>
        </is>
      </c>
      <c r="CZ97" s="112" t="inlineStr">
        <is>
          <t>-1,48%</t>
        </is>
      </c>
      <c r="DA97" s="113" t="inlineStr">
        <is>
          <t>6,03x</t>
        </is>
      </c>
      <c r="DB97" s="114" t="inlineStr">
        <is>
          <t>84</t>
        </is>
      </c>
      <c r="DC97" s="115" t="inlineStr">
        <is>
          <t>2,15x</t>
        </is>
      </c>
      <c r="DD97" s="116" t="inlineStr">
        <is>
          <t>63</t>
        </is>
      </c>
      <c r="DE97" s="117" t="inlineStr">
        <is>
          <t>3,11x</t>
        </is>
      </c>
      <c r="DF97" s="118" t="inlineStr">
        <is>
          <t>74</t>
        </is>
      </c>
      <c r="DG97" s="119" t="inlineStr">
        <is>
          <t>8,94x</t>
        </is>
      </c>
      <c r="DH97" s="120" t="inlineStr">
        <is>
          <t>86</t>
        </is>
      </c>
      <c r="DI97" s="121" t="inlineStr">
        <is>
          <t>1,75x</t>
        </is>
      </c>
      <c r="DJ97" s="122" t="inlineStr">
        <is>
          <t>60</t>
        </is>
      </c>
      <c r="DK97" s="123" t="inlineStr">
        <is>
          <t>2,55x</t>
        </is>
      </c>
      <c r="DL97" s="124" t="inlineStr">
        <is>
          <t>68</t>
        </is>
      </c>
      <c r="DM97" s="125" t="inlineStr">
        <is>
          <t>1.139</t>
        </is>
      </c>
      <c r="DN97" s="126" t="inlineStr">
        <is>
          <t>78</t>
        </is>
      </c>
      <c r="DO97" s="127" t="inlineStr">
        <is>
          <t>7,35%</t>
        </is>
      </c>
      <c r="DP97" s="128" t="inlineStr">
        <is>
          <t>1.383</t>
        </is>
      </c>
      <c r="DQ97" s="129" t="inlineStr">
        <is>
          <t>0</t>
        </is>
      </c>
      <c r="DR97" s="130" t="inlineStr">
        <is>
          <t>0,00%</t>
        </is>
      </c>
      <c r="DS97" s="131" t="inlineStr">
        <is>
          <t>325</t>
        </is>
      </c>
      <c r="DT97" s="132" t="inlineStr">
        <is>
          <t>-9</t>
        </is>
      </c>
      <c r="DU97" s="133" t="inlineStr">
        <is>
          <t>-2,69%</t>
        </is>
      </c>
      <c r="DV97" s="134" t="inlineStr">
        <is>
          <t>948</t>
        </is>
      </c>
      <c r="DW97" s="135" t="inlineStr">
        <is>
          <t>2</t>
        </is>
      </c>
      <c r="DX97" s="136" t="inlineStr">
        <is>
          <t>0,21%</t>
        </is>
      </c>
      <c r="DY97" s="137" t="inlineStr">
        <is>
          <t>PitchBook Research</t>
        </is>
      </c>
      <c r="DZ97" s="785">
        <f>HYPERLINK("https://my.pitchbook.com?c=56173-87", "View company online")</f>
      </c>
    </row>
    <row r="98">
      <c r="A98" s="139" t="inlineStr">
        <is>
          <t>149928-76</t>
        </is>
      </c>
      <c r="B98" s="140" t="inlineStr">
        <is>
          <t>Gastrofix</t>
        </is>
      </c>
      <c r="C98" s="141" t="inlineStr">
        <is>
          <t>Saarbrücker Gastrofix</t>
        </is>
      </c>
      <c r="D98" s="142" t="inlineStr">
        <is>
          <t/>
        </is>
      </c>
      <c r="E98" s="143" t="inlineStr">
        <is>
          <t>149928-76</t>
        </is>
      </c>
      <c r="F98" s="144" t="inlineStr">
        <is>
          <t>Developer and provider of a cloud-based point-of-sale (POS) software designed to digitize processes in the hospitality sector. The company's professional Gastrofix iPad POS-system, Gastrofix Restaurant-Manager, Gastrofix On-Site-Service, Gastrofix Customer Loyalty and Gastrofix Interfaces offers real-time-synchronization, real-time KPIs overview, room-and table-plan management and over 60 descriptive reports in a single tap enabling hospitality businesses make faster and better decisions and thus more sales.</t>
        </is>
      </c>
      <c r="G98" s="145" t="inlineStr">
        <is>
          <t>Information Technology</t>
        </is>
      </c>
      <c r="H98" s="146" t="inlineStr">
        <is>
          <t>Software</t>
        </is>
      </c>
      <c r="I98" s="147" t="inlineStr">
        <is>
          <t>Vertical Market Software</t>
        </is>
      </c>
      <c r="J98" s="148" t="inlineStr">
        <is>
          <t>Vertical Market Software*; Other Commercial Services</t>
        </is>
      </c>
      <c r="K98" s="149" t="inlineStr">
        <is>
          <t>Big Data, Mobile, SaaS</t>
        </is>
      </c>
      <c r="L98" s="150" t="inlineStr">
        <is>
          <t>Venture Capital-Backed</t>
        </is>
      </c>
      <c r="M98" s="151" t="n">
        <v>18.67</v>
      </c>
      <c r="N98" s="152" t="inlineStr">
        <is>
          <t>Generating Revenue</t>
        </is>
      </c>
      <c r="O98" s="153" t="inlineStr">
        <is>
          <t>Acquired/Merged (Operating Subsidiary)</t>
        </is>
      </c>
      <c r="P98" s="154" t="inlineStr">
        <is>
          <t>Venture Capital, M&amp;A</t>
        </is>
      </c>
      <c r="Q98" s="155" t="inlineStr">
        <is>
          <t>www.gastrofix.com</t>
        </is>
      </c>
      <c r="R98" s="156" t="n">
        <v>100.0</v>
      </c>
      <c r="S98" s="157" t="inlineStr">
        <is>
          <t/>
        </is>
      </c>
      <c r="T98" s="158" t="inlineStr">
        <is>
          <t/>
        </is>
      </c>
      <c r="U98" s="159" t="n">
        <v>1990.0</v>
      </c>
      <c r="V98" s="160" t="inlineStr">
        <is>
          <t>TC POS</t>
        </is>
      </c>
      <c r="W98" s="161" t="inlineStr">
        <is>
          <t/>
        </is>
      </c>
      <c r="X98" s="162" t="inlineStr">
        <is>
          <t/>
        </is>
      </c>
      <c r="Y98" s="163" t="inlineStr">
        <is>
          <t/>
        </is>
      </c>
      <c r="Z98" s="164" t="inlineStr">
        <is>
          <t/>
        </is>
      </c>
      <c r="AA98" s="165" t="inlineStr">
        <is>
          <t/>
        </is>
      </c>
      <c r="AB98" s="166" t="inlineStr">
        <is>
          <t/>
        </is>
      </c>
      <c r="AC98" s="167" t="inlineStr">
        <is>
          <t/>
        </is>
      </c>
      <c r="AD98" s="168" t="inlineStr">
        <is>
          <t/>
        </is>
      </c>
      <c r="AE98" s="169" t="inlineStr">
        <is>
          <t>123329-71P</t>
        </is>
      </c>
      <c r="AF98" s="170" t="inlineStr">
        <is>
          <t>Reinhard Martens</t>
        </is>
      </c>
      <c r="AG98" s="171" t="inlineStr">
        <is>
          <t>Chief Financial Officer &amp; Board Member</t>
        </is>
      </c>
      <c r="AH98" s="172" t="inlineStr">
        <is>
          <t>reinhard@gastrofix.com</t>
        </is>
      </c>
      <c r="AI98" s="173" t="inlineStr">
        <is>
          <t>+49 (0)30 7623 0346</t>
        </is>
      </c>
      <c r="AJ98" s="174" t="inlineStr">
        <is>
          <t>Berlin, Germany</t>
        </is>
      </c>
      <c r="AK98" s="175" t="inlineStr">
        <is>
          <t>Marienburger Straße 16</t>
        </is>
      </c>
      <c r="AL98" s="176" t="inlineStr">
        <is>
          <t/>
        </is>
      </c>
      <c r="AM98" s="177" t="inlineStr">
        <is>
          <t>Berlin</t>
        </is>
      </c>
      <c r="AN98" s="178" t="inlineStr">
        <is>
          <t/>
        </is>
      </c>
      <c r="AO98" s="179" t="inlineStr">
        <is>
          <t>10405</t>
        </is>
      </c>
      <c r="AP98" s="180" t="inlineStr">
        <is>
          <t>Germany</t>
        </is>
      </c>
      <c r="AQ98" s="181" t="inlineStr">
        <is>
          <t>+49 (0)30 7623 0346</t>
        </is>
      </c>
      <c r="AR98" s="182" t="inlineStr">
        <is>
          <t/>
        </is>
      </c>
      <c r="AS98" s="183" t="inlineStr">
        <is>
          <t>info@gastrofix.com</t>
        </is>
      </c>
      <c r="AT98" s="184" t="inlineStr">
        <is>
          <t>Europe</t>
        </is>
      </c>
      <c r="AU98" s="185" t="inlineStr">
        <is>
          <t>Western Europe</t>
        </is>
      </c>
      <c r="AV98" s="186" t="inlineStr">
        <is>
          <t>The company raised EUR 15 million of Series B venture funding led by Radeberger Gruppe and Endeit Capital on July 11, 2017. The capital injection will be used to expand its leading market position in Germany as well as internationally.</t>
        </is>
      </c>
      <c r="AW98" s="187" t="inlineStr">
        <is>
          <t>Endeit Capital, Entrée Capital, Mujinzo Labs, Radeberger Gruppe</t>
        </is>
      </c>
      <c r="AX98" s="188" t="n">
        <v>4.0</v>
      </c>
      <c r="AY98" s="189" t="inlineStr">
        <is>
          <t>TC POS</t>
        </is>
      </c>
      <c r="AZ98" s="190" t="inlineStr">
        <is>
          <t/>
        </is>
      </c>
      <c r="BA98" s="191" t="inlineStr">
        <is>
          <t/>
        </is>
      </c>
      <c r="BB98" s="192" t="inlineStr">
        <is>
          <t>Endeit Capital (www.endeit.com), Entrée Capital (www.entreecap.com), Mujinzo Labs (www.mujinzo-labs.com), Radeberger Gruppe (www.radeberger-gruppe.de)</t>
        </is>
      </c>
      <c r="BC98" s="193" t="inlineStr">
        <is>
          <t/>
        </is>
      </c>
      <c r="BD98" s="194" t="inlineStr">
        <is>
          <t/>
        </is>
      </c>
      <c r="BE98" s="195" t="inlineStr">
        <is>
          <t/>
        </is>
      </c>
      <c r="BF98" s="196" t="inlineStr">
        <is>
          <t>Morrison &amp; Foerster (Legal Advisor), Clipperton Finance (Advisor: General), Parklane Capital (Advisor: General)</t>
        </is>
      </c>
      <c r="BG98" s="197" t="n">
        <v>36892.0</v>
      </c>
      <c r="BH98" s="198" t="inlineStr">
        <is>
          <t/>
        </is>
      </c>
      <c r="BI98" s="199" t="inlineStr">
        <is>
          <t/>
        </is>
      </c>
      <c r="BJ98" s="200" t="inlineStr">
        <is>
          <t/>
        </is>
      </c>
      <c r="BK98" s="201" t="inlineStr">
        <is>
          <t/>
        </is>
      </c>
      <c r="BL98" s="202" t="inlineStr">
        <is>
          <t>Merger/Acquisition</t>
        </is>
      </c>
      <c r="BM98" s="203" t="inlineStr">
        <is>
          <t/>
        </is>
      </c>
      <c r="BN98" s="204" t="inlineStr">
        <is>
          <t/>
        </is>
      </c>
      <c r="BO98" s="205" t="inlineStr">
        <is>
          <t>Corporate</t>
        </is>
      </c>
      <c r="BP98" s="206" t="inlineStr">
        <is>
          <t/>
        </is>
      </c>
      <c r="BQ98" s="207" t="inlineStr">
        <is>
          <t/>
        </is>
      </c>
      <c r="BR98" s="208" t="inlineStr">
        <is>
          <t/>
        </is>
      </c>
      <c r="BS98" s="209" t="inlineStr">
        <is>
          <t>Completed</t>
        </is>
      </c>
      <c r="BT98" s="210" t="n">
        <v>42927.0</v>
      </c>
      <c r="BU98" s="211" t="n">
        <v>15.0</v>
      </c>
      <c r="BV98" s="212" t="inlineStr">
        <is>
          <t>Actual</t>
        </is>
      </c>
      <c r="BW98" s="213" t="inlineStr">
        <is>
          <t/>
        </is>
      </c>
      <c r="BX98" s="214" t="inlineStr">
        <is>
          <t/>
        </is>
      </c>
      <c r="BY98" s="215" t="inlineStr">
        <is>
          <t>Later Stage VC</t>
        </is>
      </c>
      <c r="BZ98" s="216" t="inlineStr">
        <is>
          <t>Series B</t>
        </is>
      </c>
      <c r="CA98" s="217" t="inlineStr">
        <is>
          <t/>
        </is>
      </c>
      <c r="CB98" s="218" t="inlineStr">
        <is>
          <t>Venture Capital</t>
        </is>
      </c>
      <c r="CC98" s="219" t="inlineStr">
        <is>
          <t/>
        </is>
      </c>
      <c r="CD98" s="220" t="inlineStr">
        <is>
          <t/>
        </is>
      </c>
      <c r="CE98" s="221" t="inlineStr">
        <is>
          <t/>
        </is>
      </c>
      <c r="CF98" s="222" t="inlineStr">
        <is>
          <t>Completed</t>
        </is>
      </c>
      <c r="CG98" s="223" t="inlineStr">
        <is>
          <t>-3,84%</t>
        </is>
      </c>
      <c r="CH98" s="224" t="inlineStr">
        <is>
          <t>5</t>
        </is>
      </c>
      <c r="CI98" s="225" t="inlineStr">
        <is>
          <t>-0,01%</t>
        </is>
      </c>
      <c r="CJ98" s="226" t="inlineStr">
        <is>
          <t>-0,34%</t>
        </is>
      </c>
      <c r="CK98" s="227" t="inlineStr">
        <is>
          <t>-7,94%</t>
        </is>
      </c>
      <c r="CL98" s="228" t="inlineStr">
        <is>
          <t>5</t>
        </is>
      </c>
      <c r="CM98" s="229" t="inlineStr">
        <is>
          <t>0,26%</t>
        </is>
      </c>
      <c r="CN98" s="230" t="inlineStr">
        <is>
          <t>77</t>
        </is>
      </c>
      <c r="CO98" s="231" t="inlineStr">
        <is>
          <t>-15,70%</t>
        </is>
      </c>
      <c r="CP98" s="232" t="inlineStr">
        <is>
          <t>8</t>
        </is>
      </c>
      <c r="CQ98" s="233" t="inlineStr">
        <is>
          <t>-0,18%</t>
        </is>
      </c>
      <c r="CR98" s="234" t="inlineStr">
        <is>
          <t>19</t>
        </is>
      </c>
      <c r="CS98" s="235" t="inlineStr">
        <is>
          <t>0,29%</t>
        </is>
      </c>
      <c r="CT98" s="236" t="inlineStr">
        <is>
          <t>77</t>
        </is>
      </c>
      <c r="CU98" s="237" t="inlineStr">
        <is>
          <t>0,23%</t>
        </is>
      </c>
      <c r="CV98" s="238" t="inlineStr">
        <is>
          <t>79</t>
        </is>
      </c>
      <c r="CW98" s="239" t="inlineStr">
        <is>
          <t>3,31x</t>
        </is>
      </c>
      <c r="CX98" s="240" t="inlineStr">
        <is>
          <t>74</t>
        </is>
      </c>
      <c r="CY98" s="241" t="inlineStr">
        <is>
          <t>-0,01x</t>
        </is>
      </c>
      <c r="CZ98" s="242" t="inlineStr">
        <is>
          <t>-0,37%</t>
        </is>
      </c>
      <c r="DA98" s="243" t="inlineStr">
        <is>
          <t>4,83x</t>
        </is>
      </c>
      <c r="DB98" s="244" t="inlineStr">
        <is>
          <t>81</t>
        </is>
      </c>
      <c r="DC98" s="245" t="inlineStr">
        <is>
          <t>1,78x</t>
        </is>
      </c>
      <c r="DD98" s="246" t="inlineStr">
        <is>
          <t>60</t>
        </is>
      </c>
      <c r="DE98" s="247" t="inlineStr">
        <is>
          <t>0,25x</t>
        </is>
      </c>
      <c r="DF98" s="248" t="inlineStr">
        <is>
          <t>18</t>
        </is>
      </c>
      <c r="DG98" s="249" t="inlineStr">
        <is>
          <t>9,42x</t>
        </is>
      </c>
      <c r="DH98" s="250" t="inlineStr">
        <is>
          <t>86</t>
        </is>
      </c>
      <c r="DI98" s="251" t="inlineStr">
        <is>
          <t>2,55x</t>
        </is>
      </c>
      <c r="DJ98" s="252" t="inlineStr">
        <is>
          <t>66</t>
        </is>
      </c>
      <c r="DK98" s="253" t="inlineStr">
        <is>
          <t>1,01x</t>
        </is>
      </c>
      <c r="DL98" s="254" t="inlineStr">
        <is>
          <t>51</t>
        </is>
      </c>
      <c r="DM98" s="255" t="inlineStr">
        <is>
          <t>521</t>
        </is>
      </c>
      <c r="DN98" s="256" t="inlineStr">
        <is>
          <t>-1.004</t>
        </is>
      </c>
      <c r="DO98" s="257" t="inlineStr">
        <is>
          <t>-65,84%</t>
        </is>
      </c>
      <c r="DP98" s="258" t="inlineStr">
        <is>
          <t>2.019</t>
        </is>
      </c>
      <c r="DQ98" s="259" t="inlineStr">
        <is>
          <t>9</t>
        </is>
      </c>
      <c r="DR98" s="260" t="inlineStr">
        <is>
          <t>0,45%</t>
        </is>
      </c>
      <c r="DS98" s="261" t="inlineStr">
        <is>
          <t>339</t>
        </is>
      </c>
      <c r="DT98" s="262" t="inlineStr">
        <is>
          <t>-1</t>
        </is>
      </c>
      <c r="DU98" s="263" t="inlineStr">
        <is>
          <t>-0,29%</t>
        </is>
      </c>
      <c r="DV98" s="264" t="inlineStr">
        <is>
          <t>378</t>
        </is>
      </c>
      <c r="DW98" s="265" t="inlineStr">
        <is>
          <t>0</t>
        </is>
      </c>
      <c r="DX98" s="266" t="inlineStr">
        <is>
          <t>0,00%</t>
        </is>
      </c>
      <c r="DY98" s="267" t="inlineStr">
        <is>
          <t>PitchBook Research</t>
        </is>
      </c>
      <c r="DZ98" s="786">
        <f>HYPERLINK("https://my.pitchbook.com?c=149928-76", "View company online")</f>
      </c>
    </row>
    <row r="99">
      <c r="A99" s="9" t="inlineStr">
        <is>
          <t>95814-28</t>
        </is>
      </c>
      <c r="B99" s="10" t="inlineStr">
        <is>
          <t>BUX</t>
        </is>
      </c>
      <c r="C99" s="11" t="inlineStr">
        <is>
          <t/>
        </is>
      </c>
      <c r="D99" s="12" t="inlineStr">
        <is>
          <t/>
        </is>
      </c>
      <c r="E99" s="13" t="inlineStr">
        <is>
          <t>95814-28</t>
        </is>
      </c>
      <c r="F99" s="14" t="inlineStr">
        <is>
          <t>Developer of a mobile stock-trading application designed to make trading and investing in the financial markets accessible to everybody. The company's stock-trading application offers two levels of service: an entry-level platform that uses virtual currency, as an educational tool to show how the stock exchange works and an upgraded level that uses actual money, enabling users to learn, practice and master trading.</t>
        </is>
      </c>
      <c r="G99" s="15" t="inlineStr">
        <is>
          <t>Information Technology</t>
        </is>
      </c>
      <c r="H99" s="16" t="inlineStr">
        <is>
          <t>Software</t>
        </is>
      </c>
      <c r="I99" s="17" t="inlineStr">
        <is>
          <t>Financial Software</t>
        </is>
      </c>
      <c r="J99" s="18" t="inlineStr">
        <is>
          <t>Financial Software*; Application Software</t>
        </is>
      </c>
      <c r="K99" s="19" t="inlineStr">
        <is>
          <t>FinTech, Mobile</t>
        </is>
      </c>
      <c r="L99" s="20" t="inlineStr">
        <is>
          <t>Venture Capital-Backed</t>
        </is>
      </c>
      <c r="M99" s="21" t="n">
        <v>18.65</v>
      </c>
      <c r="N99" s="22" t="inlineStr">
        <is>
          <t>Generating Revenue</t>
        </is>
      </c>
      <c r="O99" s="23" t="inlineStr">
        <is>
          <t>Privately Held (backing)</t>
        </is>
      </c>
      <c r="P99" s="24" t="inlineStr">
        <is>
          <t>Venture Capital</t>
        </is>
      </c>
      <c r="Q99" s="25" t="inlineStr">
        <is>
          <t>www.getbux.com</t>
        </is>
      </c>
      <c r="R99" s="26" t="n">
        <v>34.0</v>
      </c>
      <c r="S99" s="27" t="inlineStr">
        <is>
          <t/>
        </is>
      </c>
      <c r="T99" s="28" t="inlineStr">
        <is>
          <t/>
        </is>
      </c>
      <c r="U99" s="29" t="n">
        <v>2005.0</v>
      </c>
      <c r="V99" s="30" t="inlineStr">
        <is>
          <t/>
        </is>
      </c>
      <c r="W99" s="31" t="inlineStr">
        <is>
          <t/>
        </is>
      </c>
      <c r="X99" s="32" t="inlineStr">
        <is>
          <t/>
        </is>
      </c>
      <c r="Y99" s="33" t="n">
        <v>18.22241</v>
      </c>
      <c r="Z99" s="34" t="n">
        <v>4.76192</v>
      </c>
      <c r="AA99" s="35" t="n">
        <v>-1.38494</v>
      </c>
      <c r="AB99" s="36" t="inlineStr">
        <is>
          <t/>
        </is>
      </c>
      <c r="AC99" s="37" t="n">
        <v>-1.29957</v>
      </c>
      <c r="AD99" s="38" t="inlineStr">
        <is>
          <t>FY 2016</t>
        </is>
      </c>
      <c r="AE99" s="39" t="inlineStr">
        <is>
          <t>112760-38P</t>
        </is>
      </c>
      <c r="AF99" s="40" t="inlineStr">
        <is>
          <t>Egbert Pronk</t>
        </is>
      </c>
      <c r="AG99" s="41" t="inlineStr">
        <is>
          <t>Co-Founder &amp; Chief Financial Officer</t>
        </is>
      </c>
      <c r="AH99" s="42" t="inlineStr">
        <is>
          <t>egbert.pronk@getbux.com</t>
        </is>
      </c>
      <c r="AI99" s="43" t="inlineStr">
        <is>
          <t>+31 (0)62 606 8870</t>
        </is>
      </c>
      <c r="AJ99" s="44" t="inlineStr">
        <is>
          <t>Amsterdam, Netherlands</t>
        </is>
      </c>
      <c r="AK99" s="45" t="inlineStr">
        <is>
          <t>Spuistraat 114-b</t>
        </is>
      </c>
      <c r="AL99" s="46" t="inlineStr">
        <is>
          <t/>
        </is>
      </c>
      <c r="AM99" s="47" t="inlineStr">
        <is>
          <t>Amsterdam</t>
        </is>
      </c>
      <c r="AN99" s="48" t="inlineStr">
        <is>
          <t/>
        </is>
      </c>
      <c r="AO99" s="49" t="inlineStr">
        <is>
          <t>1012 VA</t>
        </is>
      </c>
      <c r="AP99" s="50" t="inlineStr">
        <is>
          <t>Netherlands</t>
        </is>
      </c>
      <c r="AQ99" s="51" t="inlineStr">
        <is>
          <t>+31 (0)85 888 5505</t>
        </is>
      </c>
      <c r="AR99" s="52" t="inlineStr">
        <is>
          <t/>
        </is>
      </c>
      <c r="AS99" s="53" t="inlineStr">
        <is>
          <t>info@getbux.com</t>
        </is>
      </c>
      <c r="AT99" s="54" t="inlineStr">
        <is>
          <t>Europe</t>
        </is>
      </c>
      <c r="AU99" s="55" t="inlineStr">
        <is>
          <t>Western Europe</t>
        </is>
      </c>
      <c r="AV99" s="56" t="inlineStr">
        <is>
          <t>The company is reportedly in the process of raising an undisclosed amount of angel funding via Seedrs on October 23, 2017. The company also raised EUR 10.6 million of Series C venture funding in a round led by Holtzbrinck Ventures on October 23, 2017. Velocity Capital, Arthur Kosten, Thierry Schaap and other undisclosed investors also participated in this round. The company intends to use the funds to undertake product expansion and to create a full suite of apps by 2020, ranging from short term trading, to long-term investing. The company is being actively tracked by PitchBook.</t>
        </is>
      </c>
      <c r="AW99" s="57" t="inlineStr">
        <is>
          <t>Arthur Kosten, btov Partners, Finch Capital, Holtzbrinck Ventures, Initial Capital, Thierry Schaap, Velocity Capital Private Equity</t>
        </is>
      </c>
      <c r="AX99" s="58" t="n">
        <v>7.0</v>
      </c>
      <c r="AY99" s="59" t="inlineStr">
        <is>
          <t/>
        </is>
      </c>
      <c r="AZ99" s="60" t="inlineStr">
        <is>
          <t>5square</t>
        </is>
      </c>
      <c r="BA99" s="61" t="inlineStr">
        <is>
          <t/>
        </is>
      </c>
      <c r="BB99" s="62" t="inlineStr">
        <is>
          <t>btov Partners (www.btov.vc), Finch Capital (www.ogc-partners.com), Holtzbrinck Ventures (www.holtzbrinck-ventures.com), Initial Capital (www.initialcapital.com), Velocity Capital Private Equity (www.velocitycapital-pe.com)</t>
        </is>
      </c>
      <c r="BC99" s="63" t="inlineStr">
        <is>
          <t>5square (www.5square.nl)</t>
        </is>
      </c>
      <c r="BD99" s="64" t="inlineStr">
        <is>
          <t/>
        </is>
      </c>
      <c r="BE99" s="65" t="inlineStr">
        <is>
          <t>Greenback Alan (Auditor), Shelley Stock Hutter (Auditor), Blevins Franks (Auditor)</t>
        </is>
      </c>
      <c r="BF99" s="66" t="inlineStr">
        <is>
          <t>Seedrs (Lead Manager or Arranger)</t>
        </is>
      </c>
      <c r="BG99" s="67" t="n">
        <v>41640.0</v>
      </c>
      <c r="BH99" s="68" t="inlineStr">
        <is>
          <t/>
        </is>
      </c>
      <c r="BI99" s="69" t="inlineStr">
        <is>
          <t/>
        </is>
      </c>
      <c r="BJ99" s="70" t="inlineStr">
        <is>
          <t/>
        </is>
      </c>
      <c r="BK99" s="71" t="inlineStr">
        <is>
          <t/>
        </is>
      </c>
      <c r="BL99" s="72" t="inlineStr">
        <is>
          <t>Seed Round</t>
        </is>
      </c>
      <c r="BM99" s="73" t="inlineStr">
        <is>
          <t>Seed</t>
        </is>
      </c>
      <c r="BN99" s="74" t="inlineStr">
        <is>
          <t/>
        </is>
      </c>
      <c r="BO99" s="75" t="inlineStr">
        <is>
          <t>Venture Capital</t>
        </is>
      </c>
      <c r="BP99" s="76" t="inlineStr">
        <is>
          <t/>
        </is>
      </c>
      <c r="BQ99" s="77" t="inlineStr">
        <is>
          <t/>
        </is>
      </c>
      <c r="BR99" s="78" t="inlineStr">
        <is>
          <t/>
        </is>
      </c>
      <c r="BS99" s="79" t="inlineStr">
        <is>
          <t>Completed</t>
        </is>
      </c>
      <c r="BT99" s="80" t="n">
        <v>43031.0</v>
      </c>
      <c r="BU99" s="81" t="inlineStr">
        <is>
          <t/>
        </is>
      </c>
      <c r="BV99" s="82" t="inlineStr">
        <is>
          <t/>
        </is>
      </c>
      <c r="BW99" s="83" t="inlineStr">
        <is>
          <t/>
        </is>
      </c>
      <c r="BX99" s="84" t="inlineStr">
        <is>
          <t/>
        </is>
      </c>
      <c r="BY99" s="85" t="inlineStr">
        <is>
          <t>Angel (individual)</t>
        </is>
      </c>
      <c r="BZ99" s="86" t="inlineStr">
        <is>
          <t>Angel</t>
        </is>
      </c>
      <c r="CA99" s="87" t="inlineStr">
        <is>
          <t/>
        </is>
      </c>
      <c r="CB99" s="88" t="inlineStr">
        <is>
          <t>Individual</t>
        </is>
      </c>
      <c r="CC99" s="89" t="inlineStr">
        <is>
          <t/>
        </is>
      </c>
      <c r="CD99" s="90" t="inlineStr">
        <is>
          <t/>
        </is>
      </c>
      <c r="CE99" s="91" t="inlineStr">
        <is>
          <t/>
        </is>
      </c>
      <c r="CF99" s="92" t="inlineStr">
        <is>
          <t>Announced/In Progress</t>
        </is>
      </c>
      <c r="CG99" s="93" t="inlineStr">
        <is>
          <t>0,52%</t>
        </is>
      </c>
      <c r="CH99" s="94" t="inlineStr">
        <is>
          <t>92</t>
        </is>
      </c>
      <c r="CI99" s="95" t="inlineStr">
        <is>
          <t>-0,01%</t>
        </is>
      </c>
      <c r="CJ99" s="96" t="inlineStr">
        <is>
          <t>-1,33%</t>
        </is>
      </c>
      <c r="CK99" s="97" t="inlineStr">
        <is>
          <t>0,24%</t>
        </is>
      </c>
      <c r="CL99" s="98" t="inlineStr">
        <is>
          <t>92</t>
        </is>
      </c>
      <c r="CM99" s="99" t="inlineStr">
        <is>
          <t>0,81%</t>
        </is>
      </c>
      <c r="CN99" s="100" t="inlineStr">
        <is>
          <t>94</t>
        </is>
      </c>
      <c r="CO99" s="101" t="inlineStr">
        <is>
          <t>0,47%</t>
        </is>
      </c>
      <c r="CP99" s="102" t="inlineStr">
        <is>
          <t>92</t>
        </is>
      </c>
      <c r="CQ99" s="103" t="inlineStr">
        <is>
          <t>0,00%</t>
        </is>
      </c>
      <c r="CR99" s="104" t="inlineStr">
        <is>
          <t>20</t>
        </is>
      </c>
      <c r="CS99" s="105" t="inlineStr">
        <is>
          <t>0,77%</t>
        </is>
      </c>
      <c r="CT99" s="106" t="inlineStr">
        <is>
          <t>92</t>
        </is>
      </c>
      <c r="CU99" s="107" t="inlineStr">
        <is>
          <t>0,86%</t>
        </is>
      </c>
      <c r="CV99" s="108" t="inlineStr">
        <is>
          <t>96</t>
        </is>
      </c>
      <c r="CW99" s="109" t="inlineStr">
        <is>
          <t>14,58x</t>
        </is>
      </c>
      <c r="CX99" s="110" t="inlineStr">
        <is>
          <t>91</t>
        </is>
      </c>
      <c r="CY99" s="111" t="inlineStr">
        <is>
          <t>0,13x</t>
        </is>
      </c>
      <c r="CZ99" s="112" t="inlineStr">
        <is>
          <t>0,92%</t>
        </is>
      </c>
      <c r="DA99" s="113" t="inlineStr">
        <is>
          <t>2,83x</t>
        </is>
      </c>
      <c r="DB99" s="114" t="inlineStr">
        <is>
          <t>73</t>
        </is>
      </c>
      <c r="DC99" s="115" t="inlineStr">
        <is>
          <t>26,34x</t>
        </is>
      </c>
      <c r="DD99" s="116" t="inlineStr">
        <is>
          <t>91</t>
        </is>
      </c>
      <c r="DE99" s="117" t="inlineStr">
        <is>
          <t>4,38x</t>
        </is>
      </c>
      <c r="DF99" s="118" t="inlineStr">
        <is>
          <t>79</t>
        </is>
      </c>
      <c r="DG99" s="119" t="inlineStr">
        <is>
          <t>1,28x</t>
        </is>
      </c>
      <c r="DH99" s="120" t="inlineStr">
        <is>
          <t>56</t>
        </is>
      </c>
      <c r="DI99" s="121" t="inlineStr">
        <is>
          <t>35,71x</t>
        </is>
      </c>
      <c r="DJ99" s="122" t="inlineStr">
        <is>
          <t>91</t>
        </is>
      </c>
      <c r="DK99" s="123" t="inlineStr">
        <is>
          <t>16,97x</t>
        </is>
      </c>
      <c r="DL99" s="124" t="inlineStr">
        <is>
          <t>91</t>
        </is>
      </c>
      <c r="DM99" s="125" t="inlineStr">
        <is>
          <t>1.659</t>
        </is>
      </c>
      <c r="DN99" s="126" t="inlineStr">
        <is>
          <t>-105</t>
        </is>
      </c>
      <c r="DO99" s="127" t="inlineStr">
        <is>
          <t>-5,95%</t>
        </is>
      </c>
      <c r="DP99" s="128" t="inlineStr">
        <is>
          <t>27.961</t>
        </is>
      </c>
      <c r="DQ99" s="129" t="inlineStr">
        <is>
          <t>598</t>
        </is>
      </c>
      <c r="DR99" s="130" t="inlineStr">
        <is>
          <t>2,19%</t>
        </is>
      </c>
      <c r="DS99" s="131" t="inlineStr">
        <is>
          <t>45</t>
        </is>
      </c>
      <c r="DT99" s="132" t="inlineStr">
        <is>
          <t>1</t>
        </is>
      </c>
      <c r="DU99" s="133" t="inlineStr">
        <is>
          <t>2,27%</t>
        </is>
      </c>
      <c r="DV99" s="134" t="inlineStr">
        <is>
          <t>6.327</t>
        </is>
      </c>
      <c r="DW99" s="135" t="inlineStr">
        <is>
          <t>31</t>
        </is>
      </c>
      <c r="DX99" s="136" t="inlineStr">
        <is>
          <t>0,49%</t>
        </is>
      </c>
      <c r="DY99" s="137" t="inlineStr">
        <is>
          <t>PitchBook Research</t>
        </is>
      </c>
      <c r="DZ99" s="785">
        <f>HYPERLINK("https://my.pitchbook.com?c=95814-28", "View company online")</f>
      </c>
    </row>
    <row r="100">
      <c r="A100" s="139" t="inlineStr">
        <is>
          <t>57220-66</t>
        </is>
      </c>
      <c r="B100" s="140" t="inlineStr">
        <is>
          <t>Blis Media</t>
        </is>
      </c>
      <c r="C100" s="141" t="inlineStr">
        <is>
          <t>Blismedia</t>
        </is>
      </c>
      <c r="D100" s="142" t="inlineStr">
        <is>
          <t>Blis</t>
        </is>
      </c>
      <c r="E100" s="143" t="inlineStr">
        <is>
          <t>57220-66</t>
        </is>
      </c>
      <c r="F100" s="144" t="inlineStr">
        <is>
          <t>Developer of location data technology designed to building and perfecting location targeting capabilities and product features. The company's location data technology platform provides businesses with accurate location data and in-depth behavioral insights to serve digital content to audiences that are on the go, enabling them to harness the power of location and understand real-world behavior.</t>
        </is>
      </c>
      <c r="G100" s="145" t="inlineStr">
        <is>
          <t>Information Technology</t>
        </is>
      </c>
      <c r="H100" s="146" t="inlineStr">
        <is>
          <t>Other Information Technology</t>
        </is>
      </c>
      <c r="I100" s="147" t="inlineStr">
        <is>
          <t>Other Information Technology</t>
        </is>
      </c>
      <c r="J100" s="148" t="inlineStr">
        <is>
          <t>Other Information Technology*; Media and Information Services (B2B); Business/Productivity Software</t>
        </is>
      </c>
      <c r="K100" s="149" t="inlineStr">
        <is>
          <t>AdTech, Mobile</t>
        </is>
      </c>
      <c r="L100" s="150" t="inlineStr">
        <is>
          <t>Venture Capital-Backed</t>
        </is>
      </c>
      <c r="M100" s="151" t="n">
        <v>18.45</v>
      </c>
      <c r="N100" s="152" t="inlineStr">
        <is>
          <t>Generating Revenue</t>
        </is>
      </c>
      <c r="O100" s="153" t="inlineStr">
        <is>
          <t>Privately Held (backing)</t>
        </is>
      </c>
      <c r="P100" s="154" t="inlineStr">
        <is>
          <t>Venture Capital</t>
        </is>
      </c>
      <c r="Q100" s="155" t="inlineStr">
        <is>
          <t>www.blis.com</t>
        </is>
      </c>
      <c r="R100" s="156" t="n">
        <v>103.0</v>
      </c>
      <c r="S100" s="157" t="inlineStr">
        <is>
          <t/>
        </is>
      </c>
      <c r="T100" s="158" t="inlineStr">
        <is>
          <t/>
        </is>
      </c>
      <c r="U100" s="159" t="n">
        <v>2004.0</v>
      </c>
      <c r="V100" s="160" t="inlineStr">
        <is>
          <t/>
        </is>
      </c>
      <c r="W100" s="161" t="inlineStr">
        <is>
          <t/>
        </is>
      </c>
      <c r="X100" s="162" t="inlineStr">
        <is>
          <t/>
        </is>
      </c>
      <c r="Y100" s="163" t="n">
        <v>21.24104</v>
      </c>
      <c r="Z100" s="164" t="n">
        <v>11.55762</v>
      </c>
      <c r="AA100" s="165" t="n">
        <v>-2.77456</v>
      </c>
      <c r="AB100" s="166" t="inlineStr">
        <is>
          <t/>
        </is>
      </c>
      <c r="AC100" s="167" t="n">
        <v>-1.43322</v>
      </c>
      <c r="AD100" s="168" t="inlineStr">
        <is>
          <t>FY 2015</t>
        </is>
      </c>
      <c r="AE100" s="169" t="inlineStr">
        <is>
          <t>49890-79P</t>
        </is>
      </c>
      <c r="AF100" s="170" t="inlineStr">
        <is>
          <t>Gregor Isbister</t>
        </is>
      </c>
      <c r="AG100" s="171" t="inlineStr">
        <is>
          <t>Founder, Chief Executive Officer &amp; Board Member</t>
        </is>
      </c>
      <c r="AH100" s="172" t="inlineStr">
        <is>
          <t>gregor@blismedia.com</t>
        </is>
      </c>
      <c r="AI100" s="173" t="inlineStr">
        <is>
          <t>+44 (0)20 3443 7363</t>
        </is>
      </c>
      <c r="AJ100" s="174" t="inlineStr">
        <is>
          <t>London, United Kingdom</t>
        </is>
      </c>
      <c r="AK100" s="175" t="inlineStr">
        <is>
          <t>5th Floor, Mappin House</t>
        </is>
      </c>
      <c r="AL100" s="176" t="inlineStr">
        <is>
          <t>4 Winsley Street</t>
        </is>
      </c>
      <c r="AM100" s="177" t="inlineStr">
        <is>
          <t>London</t>
        </is>
      </c>
      <c r="AN100" s="178" t="inlineStr">
        <is>
          <t>England</t>
        </is>
      </c>
      <c r="AO100" s="179" t="inlineStr">
        <is>
          <t>W1W 8HF</t>
        </is>
      </c>
      <c r="AP100" s="180" t="inlineStr">
        <is>
          <t>United Kingdom</t>
        </is>
      </c>
      <c r="AQ100" s="181" t="inlineStr">
        <is>
          <t>+44 (0)20 3443 7363</t>
        </is>
      </c>
      <c r="AR100" s="182" t="inlineStr">
        <is>
          <t/>
        </is>
      </c>
      <c r="AS100" s="183" t="inlineStr">
        <is>
          <t>hello@blismedia.com</t>
        </is>
      </c>
      <c r="AT100" s="184" t="inlineStr">
        <is>
          <t>Europe</t>
        </is>
      </c>
      <c r="AU100" s="185" t="inlineStr">
        <is>
          <t>Western Europe</t>
        </is>
      </c>
      <c r="AV100" s="186" t="inlineStr">
        <is>
          <t>The company raised GBP 17.55 million of Series B venture funding through a combination of debt and equity on April 12, 2016, putting the pre-money valuation at GBP 20.74 million. The equity portion of Series B funding was provided by Endeit Capital, Beringea and Unilever Ventures. An undisclosed amount of debt portion in the form of credit facility was provided by Silicon Valley Bank. The investment will help the company to continue its expansion into new markets, including the US, as well as scaling international sales, marketing opportunities and enhanced core data engineering. Previously, the company raised GBP 962,000 of Series A venture funding from Meridian Growth Capital, Miroma Ventures, Ballpark Ventures and Beringea on May 18, 2012, putting the pre-money valuation at GBP 5 million. The new funding allows Blis to improve it's technology and expand into the US.</t>
        </is>
      </c>
      <c r="AW100" s="187" t="inlineStr">
        <is>
          <t>Ballpark Ventures, Beringea, Endeit Capital, InvestMichigan! Program, Meridian Growth Capital, Miroma Ventures, Unilever Ventures</t>
        </is>
      </c>
      <c r="AX100" s="188" t="n">
        <v>7.0</v>
      </c>
      <c r="AY100" s="189" t="inlineStr">
        <is>
          <t/>
        </is>
      </c>
      <c r="AZ100" s="190" t="inlineStr">
        <is>
          <t/>
        </is>
      </c>
      <c r="BA100" s="191" t="inlineStr">
        <is>
          <t/>
        </is>
      </c>
      <c r="BB100" s="192" t="inlineStr">
        <is>
          <t>Ballpark Ventures (www.ballparkventures.com), Beringea (www.beringea.com), Endeit Capital (www.endeit.com), InvestMichigan! Program (www.investmichiganfund.com), Meridian Growth Capital (www.meridiangc.com), Miroma Ventures (www.miromaventures.com), Unilever Ventures (www.unileverventures.com)</t>
        </is>
      </c>
      <c r="BC100" s="193" t="inlineStr">
        <is>
          <t/>
        </is>
      </c>
      <c r="BD100" s="194" t="inlineStr">
        <is>
          <t/>
        </is>
      </c>
      <c r="BE100" s="195" t="inlineStr">
        <is>
          <t>Grant Thornton UK (Auditor)</t>
        </is>
      </c>
      <c r="BF100" s="196" t="inlineStr">
        <is>
          <t>Mooreland Partners (Advisor: General), Silicon Valley Bank (Debt Financing)</t>
        </is>
      </c>
      <c r="BG100" s="197" t="n">
        <v>39083.0</v>
      </c>
      <c r="BH100" s="198" t="n">
        <v>0.72</v>
      </c>
      <c r="BI100" s="199" t="inlineStr">
        <is>
          <t>Actual</t>
        </is>
      </c>
      <c r="BJ100" s="200" t="inlineStr">
        <is>
          <t/>
        </is>
      </c>
      <c r="BK100" s="201" t="inlineStr">
        <is>
          <t/>
        </is>
      </c>
      <c r="BL100" s="202" t="inlineStr">
        <is>
          <t>Seed Round</t>
        </is>
      </c>
      <c r="BM100" s="203" t="inlineStr">
        <is>
          <t>Seed</t>
        </is>
      </c>
      <c r="BN100" s="204" t="inlineStr">
        <is>
          <t/>
        </is>
      </c>
      <c r="BO100" s="205" t="inlineStr">
        <is>
          <t>Venture Capital</t>
        </is>
      </c>
      <c r="BP100" s="206" t="inlineStr">
        <is>
          <t/>
        </is>
      </c>
      <c r="BQ100" s="207" t="inlineStr">
        <is>
          <t/>
        </is>
      </c>
      <c r="BR100" s="208" t="inlineStr">
        <is>
          <t/>
        </is>
      </c>
      <c r="BS100" s="209" t="inlineStr">
        <is>
          <t>Completed</t>
        </is>
      </c>
      <c r="BT100" s="210" t="n">
        <v>42754.0</v>
      </c>
      <c r="BU100" s="211" t="n">
        <v>16.53</v>
      </c>
      <c r="BV100" s="212" t="inlineStr">
        <is>
          <t>Actual</t>
        </is>
      </c>
      <c r="BW100" s="213" t="n">
        <v>30.01</v>
      </c>
      <c r="BX100" s="214" t="inlineStr">
        <is>
          <t>Actual</t>
        </is>
      </c>
      <c r="BY100" s="215" t="inlineStr">
        <is>
          <t>Later Stage VC</t>
        </is>
      </c>
      <c r="BZ100" s="216" t="inlineStr">
        <is>
          <t>Series B</t>
        </is>
      </c>
      <c r="CA100" s="217" t="inlineStr">
        <is>
          <t/>
        </is>
      </c>
      <c r="CB100" s="218" t="inlineStr">
        <is>
          <t>Venture Capital</t>
        </is>
      </c>
      <c r="CC100" s="219" t="inlineStr">
        <is>
          <t>Revolving Credit Line</t>
        </is>
      </c>
      <c r="CD100" s="220" t="inlineStr">
        <is>
          <t/>
        </is>
      </c>
      <c r="CE100" s="221" t="inlineStr">
        <is>
          <t/>
        </is>
      </c>
      <c r="CF100" s="222" t="inlineStr">
        <is>
          <t>Completed</t>
        </is>
      </c>
      <c r="CG100" s="223" t="inlineStr">
        <is>
          <t>-1,70%</t>
        </is>
      </c>
      <c r="CH100" s="224" t="inlineStr">
        <is>
          <t>10</t>
        </is>
      </c>
      <c r="CI100" s="225" t="inlineStr">
        <is>
          <t>0,04%</t>
        </is>
      </c>
      <c r="CJ100" s="226" t="inlineStr">
        <is>
          <t>2,52%</t>
        </is>
      </c>
      <c r="CK100" s="227" t="inlineStr">
        <is>
          <t>-3,61%</t>
        </is>
      </c>
      <c r="CL100" s="228" t="inlineStr">
        <is>
          <t>10</t>
        </is>
      </c>
      <c r="CM100" s="229" t="inlineStr">
        <is>
          <t>0,21%</t>
        </is>
      </c>
      <c r="CN100" s="230" t="inlineStr">
        <is>
          <t>72</t>
        </is>
      </c>
      <c r="CO100" s="231" t="inlineStr">
        <is>
          <t>-8,56%</t>
        </is>
      </c>
      <c r="CP100" s="232" t="inlineStr">
        <is>
          <t>15</t>
        </is>
      </c>
      <c r="CQ100" s="233" t="inlineStr">
        <is>
          <t>1,35%</t>
        </is>
      </c>
      <c r="CR100" s="234" t="inlineStr">
        <is>
          <t>94</t>
        </is>
      </c>
      <c r="CS100" s="235" t="inlineStr">
        <is>
          <t>0,09%</t>
        </is>
      </c>
      <c r="CT100" s="236" t="inlineStr">
        <is>
          <t>55</t>
        </is>
      </c>
      <c r="CU100" s="237" t="inlineStr">
        <is>
          <t>0,33%</t>
        </is>
      </c>
      <c r="CV100" s="238" t="inlineStr">
        <is>
          <t>85</t>
        </is>
      </c>
      <c r="CW100" s="239" t="inlineStr">
        <is>
          <t>3,99x</t>
        </is>
      </c>
      <c r="CX100" s="240" t="inlineStr">
        <is>
          <t>77</t>
        </is>
      </c>
      <c r="CY100" s="241" t="inlineStr">
        <is>
          <t>0,00x</t>
        </is>
      </c>
      <c r="CZ100" s="242" t="inlineStr">
        <is>
          <t>0,10%</t>
        </is>
      </c>
      <c r="DA100" s="243" t="inlineStr">
        <is>
          <t>3,35x</t>
        </is>
      </c>
      <c r="DB100" s="244" t="inlineStr">
        <is>
          <t>76</t>
        </is>
      </c>
      <c r="DC100" s="245" t="inlineStr">
        <is>
          <t>4,64x</t>
        </is>
      </c>
      <c r="DD100" s="246" t="inlineStr">
        <is>
          <t>75</t>
        </is>
      </c>
      <c r="DE100" s="247" t="inlineStr">
        <is>
          <t>0,61x</t>
        </is>
      </c>
      <c r="DF100" s="248" t="inlineStr">
        <is>
          <t>38</t>
        </is>
      </c>
      <c r="DG100" s="249" t="inlineStr">
        <is>
          <t>6,08x</t>
        </is>
      </c>
      <c r="DH100" s="250" t="inlineStr">
        <is>
          <t>81</t>
        </is>
      </c>
      <c r="DI100" s="251" t="inlineStr">
        <is>
          <t>4,36x</t>
        </is>
      </c>
      <c r="DJ100" s="252" t="inlineStr">
        <is>
          <t>73</t>
        </is>
      </c>
      <c r="DK100" s="253" t="inlineStr">
        <is>
          <t>4,92x</t>
        </is>
      </c>
      <c r="DL100" s="254" t="inlineStr">
        <is>
          <t>79</t>
        </is>
      </c>
      <c r="DM100" s="255" t="inlineStr">
        <is>
          <t>235</t>
        </is>
      </c>
      <c r="DN100" s="256" t="inlineStr">
        <is>
          <t>-42</t>
        </is>
      </c>
      <c r="DO100" s="257" t="inlineStr">
        <is>
          <t>-15,16%</t>
        </is>
      </c>
      <c r="DP100" s="258" t="inlineStr">
        <is>
          <t>3.452</t>
        </is>
      </c>
      <c r="DQ100" s="259" t="inlineStr">
        <is>
          <t>0</t>
        </is>
      </c>
      <c r="DR100" s="260" t="inlineStr">
        <is>
          <t>0,00%</t>
        </is>
      </c>
      <c r="DS100" s="261" t="inlineStr">
        <is>
          <t>217</t>
        </is>
      </c>
      <c r="DT100" s="262" t="inlineStr">
        <is>
          <t>2</t>
        </is>
      </c>
      <c r="DU100" s="263" t="inlineStr">
        <is>
          <t>0,93%</t>
        </is>
      </c>
      <c r="DV100" s="264" t="inlineStr">
        <is>
          <t>1.837</t>
        </is>
      </c>
      <c r="DW100" s="265" t="inlineStr">
        <is>
          <t>7</t>
        </is>
      </c>
      <c r="DX100" s="266" t="inlineStr">
        <is>
          <t>0,38%</t>
        </is>
      </c>
      <c r="DY100" s="267" t="inlineStr">
        <is>
          <t>PitchBook Research</t>
        </is>
      </c>
      <c r="DZ100" s="786">
        <f>HYPERLINK("https://my.pitchbook.com?c=57220-66", "View company online")</f>
      </c>
    </row>
    <row r="101">
      <c r="A101" s="9" t="inlineStr">
        <is>
          <t>53871-94</t>
        </is>
      </c>
      <c r="B101" s="10" t="inlineStr">
        <is>
          <t>Volo (E-Commerce)</t>
        </is>
      </c>
      <c r="C101" s="11" t="inlineStr">
        <is>
          <t>eSellerPro</t>
        </is>
      </c>
      <c r="D101" s="12" t="inlineStr">
        <is>
          <t>Volo</t>
        </is>
      </c>
      <c r="E101" s="13" t="inlineStr">
        <is>
          <t>53871-94</t>
        </is>
      </c>
      <c r="F101" s="14" t="inlineStr">
        <is>
          <t>Provider of e-commerce management system intended to make selling online as easy as buying online. The company's e-commerce management system integrates online sales process, simplifying and automating tasks such as inventory management, product listing and scheduling, sales order processing, payment and dispatch, customer communications and accounts posting, enabling retail enterprises to grow their business.</t>
        </is>
      </c>
      <c r="G101" s="15" t="inlineStr">
        <is>
          <t>Consumer Products and Services (B2C)</t>
        </is>
      </c>
      <c r="H101" s="16" t="inlineStr">
        <is>
          <t>Retail</t>
        </is>
      </c>
      <c r="I101" s="17" t="inlineStr">
        <is>
          <t>Internet Retail</t>
        </is>
      </c>
      <c r="J101" s="18" t="inlineStr">
        <is>
          <t>Internet Retail*; Business/Productivity Software</t>
        </is>
      </c>
      <c r="K101" s="19" t="inlineStr">
        <is>
          <t>E-Commerce</t>
        </is>
      </c>
      <c r="L101" s="20" t="inlineStr">
        <is>
          <t>Venture Capital-Backed</t>
        </is>
      </c>
      <c r="M101" s="21" t="n">
        <v>18.42</v>
      </c>
      <c r="N101" s="22" t="inlineStr">
        <is>
          <t>Generating Revenue</t>
        </is>
      </c>
      <c r="O101" s="23" t="inlineStr">
        <is>
          <t>Privately Held (backing)</t>
        </is>
      </c>
      <c r="P101" s="24" t="inlineStr">
        <is>
          <t>Venture Capital</t>
        </is>
      </c>
      <c r="Q101" s="25" t="inlineStr">
        <is>
          <t>www.volocommerce.com</t>
        </is>
      </c>
      <c r="R101" s="26" t="n">
        <v>200.0</v>
      </c>
      <c r="S101" s="27" t="inlineStr">
        <is>
          <t/>
        </is>
      </c>
      <c r="T101" s="28" t="inlineStr">
        <is>
          <t/>
        </is>
      </c>
      <c r="U101" s="29" t="n">
        <v>2005.0</v>
      </c>
      <c r="V101" s="30" t="inlineStr">
        <is>
          <t/>
        </is>
      </c>
      <c r="W101" s="31" t="inlineStr">
        <is>
          <t/>
        </is>
      </c>
      <c r="X101" s="32" t="inlineStr">
        <is>
          <t/>
        </is>
      </c>
      <c r="Y101" s="33" t="n">
        <v>5.8594</v>
      </c>
      <c r="Z101" s="34" t="n">
        <v>5.22451</v>
      </c>
      <c r="AA101" s="35" t="n">
        <v>0.08414</v>
      </c>
      <c r="AB101" s="36" t="inlineStr">
        <is>
          <t/>
        </is>
      </c>
      <c r="AC101" s="37" t="n">
        <v>-0.19888</v>
      </c>
      <c r="AD101" s="38" t="inlineStr">
        <is>
          <t>FY 2013</t>
        </is>
      </c>
      <c r="AE101" s="39" t="inlineStr">
        <is>
          <t>69149-08P</t>
        </is>
      </c>
      <c r="AF101" s="40" t="inlineStr">
        <is>
          <t>Paul Watson</t>
        </is>
      </c>
      <c r="AG101" s="41" t="inlineStr">
        <is>
          <t>Chief Executive Officer &amp; Board Member</t>
        </is>
      </c>
      <c r="AH101" s="42" t="inlineStr">
        <is>
          <t>paul@volocommerce.com</t>
        </is>
      </c>
      <c r="AI101" s="43" t="inlineStr">
        <is>
          <t>+44 (0)12 4250 9889</t>
        </is>
      </c>
      <c r="AJ101" s="44" t="inlineStr">
        <is>
          <t>Cheltenham, United Kingdom</t>
        </is>
      </c>
      <c r="AK101" s="45" t="inlineStr">
        <is>
          <t>4th Floor, St James House</t>
        </is>
      </c>
      <c r="AL101" s="46" t="inlineStr">
        <is>
          <t>St James Square</t>
        </is>
      </c>
      <c r="AM101" s="47" t="inlineStr">
        <is>
          <t>Cheltenham</t>
        </is>
      </c>
      <c r="AN101" s="48" t="inlineStr">
        <is>
          <t>England</t>
        </is>
      </c>
      <c r="AO101" s="49" t="inlineStr">
        <is>
          <t>GL50 3PR</t>
        </is>
      </c>
      <c r="AP101" s="50" t="inlineStr">
        <is>
          <t>United Kingdom</t>
        </is>
      </c>
      <c r="AQ101" s="51" t="inlineStr">
        <is>
          <t>+44 (0)12 4250 9889</t>
        </is>
      </c>
      <c r="AR101" s="52" t="inlineStr">
        <is>
          <t/>
        </is>
      </c>
      <c r="AS101" s="53" t="inlineStr">
        <is>
          <t>enquiries@esellerpro.com</t>
        </is>
      </c>
      <c r="AT101" s="54" t="inlineStr">
        <is>
          <t>Europe</t>
        </is>
      </c>
      <c r="AU101" s="55" t="inlineStr">
        <is>
          <t>Western Europe</t>
        </is>
      </c>
      <c r="AV101" s="56" t="inlineStr">
        <is>
          <t>The company raised GBP 6.3 million of venture funding from in a deal led by NVM Private Equity on September 19, 2017, putting the pre-money valuation at GBP 9.54 million. Downing also participated in this round. The funds will be used to expand the company's business into North America and across other international sales channels.</t>
        </is>
      </c>
      <c r="AW101" s="57" t="inlineStr">
        <is>
          <t>Downing, Juno Capital, Notion Capital, NVM Private Equity</t>
        </is>
      </c>
      <c r="AX101" s="58" t="n">
        <v>4.0</v>
      </c>
      <c r="AY101" s="59" t="inlineStr">
        <is>
          <t/>
        </is>
      </c>
      <c r="AZ101" s="60" t="inlineStr">
        <is>
          <t/>
        </is>
      </c>
      <c r="BA101" s="61" t="inlineStr">
        <is>
          <t/>
        </is>
      </c>
      <c r="BB101" s="62" t="inlineStr">
        <is>
          <t>Downing (www.downing.co.uk), Juno Capital (www.junocapital.co.uk), Notion Capital (www.notioncapital.com), NVM Private Equity (www.nvm.co.uk)</t>
        </is>
      </c>
      <c r="BC101" s="63" t="inlineStr">
        <is>
          <t/>
        </is>
      </c>
      <c r="BD101" s="64" t="inlineStr">
        <is>
          <t/>
        </is>
      </c>
      <c r="BE101" s="65" t="inlineStr">
        <is>
          <t>Mitchell Glanville (Auditor), Deloitte (Auditor), Ashfords (Legal Advisor)</t>
        </is>
      </c>
      <c r="BF101" s="66" t="inlineStr">
        <is>
          <t>Ashfords (Legal Advisor)</t>
        </is>
      </c>
      <c r="BG101" s="67" t="n">
        <v>40452.0</v>
      </c>
      <c r="BH101" s="68" t="n">
        <v>2.09</v>
      </c>
      <c r="BI101" s="69" t="inlineStr">
        <is>
          <t>Actual</t>
        </is>
      </c>
      <c r="BJ101" s="70" t="n">
        <v>7.17</v>
      </c>
      <c r="BK101" s="71" t="inlineStr">
        <is>
          <t>Actual</t>
        </is>
      </c>
      <c r="BL101" s="72" t="inlineStr">
        <is>
          <t>Early Stage VC</t>
        </is>
      </c>
      <c r="BM101" s="73" t="inlineStr">
        <is>
          <t/>
        </is>
      </c>
      <c r="BN101" s="74" t="inlineStr">
        <is>
          <t/>
        </is>
      </c>
      <c r="BO101" s="75" t="inlineStr">
        <is>
          <t>Venture Capital</t>
        </is>
      </c>
      <c r="BP101" s="76" t="inlineStr">
        <is>
          <t/>
        </is>
      </c>
      <c r="BQ101" s="77" t="inlineStr">
        <is>
          <t/>
        </is>
      </c>
      <c r="BR101" s="78" t="inlineStr">
        <is>
          <t/>
        </is>
      </c>
      <c r="BS101" s="79" t="inlineStr">
        <is>
          <t>Completed</t>
        </is>
      </c>
      <c r="BT101" s="80" t="n">
        <v>42997.0</v>
      </c>
      <c r="BU101" s="81" t="n">
        <v>7.02</v>
      </c>
      <c r="BV101" s="82" t="inlineStr">
        <is>
          <t>Actual</t>
        </is>
      </c>
      <c r="BW101" s="83" t="n">
        <v>17.66</v>
      </c>
      <c r="BX101" s="84" t="inlineStr">
        <is>
          <t>Actual</t>
        </is>
      </c>
      <c r="BY101" s="85" t="inlineStr">
        <is>
          <t>Later Stage VC</t>
        </is>
      </c>
      <c r="BZ101" s="86" t="inlineStr">
        <is>
          <t/>
        </is>
      </c>
      <c r="CA101" s="87" t="inlineStr">
        <is>
          <t/>
        </is>
      </c>
      <c r="CB101" s="88" t="inlineStr">
        <is>
          <t>Venture Capital</t>
        </is>
      </c>
      <c r="CC101" s="89" t="inlineStr">
        <is>
          <t/>
        </is>
      </c>
      <c r="CD101" s="90" t="inlineStr">
        <is>
          <t/>
        </is>
      </c>
      <c r="CE101" s="91" t="inlineStr">
        <is>
          <t/>
        </is>
      </c>
      <c r="CF101" s="92" t="inlineStr">
        <is>
          <t>Completed</t>
        </is>
      </c>
      <c r="CG101" s="93" t="inlineStr">
        <is>
          <t>-1,39%</t>
        </is>
      </c>
      <c r="CH101" s="94" t="inlineStr">
        <is>
          <t>12</t>
        </is>
      </c>
      <c r="CI101" s="95" t="inlineStr">
        <is>
          <t>-0,41%</t>
        </is>
      </c>
      <c r="CJ101" s="96" t="inlineStr">
        <is>
          <t>-41,94%</t>
        </is>
      </c>
      <c r="CK101" s="97" t="inlineStr">
        <is>
          <t>-2,91%</t>
        </is>
      </c>
      <c r="CL101" s="98" t="inlineStr">
        <is>
          <t>12</t>
        </is>
      </c>
      <c r="CM101" s="99" t="inlineStr">
        <is>
          <t>0,13%</t>
        </is>
      </c>
      <c r="CN101" s="100" t="inlineStr">
        <is>
          <t>63</t>
        </is>
      </c>
      <c r="CO101" s="101" t="inlineStr">
        <is>
          <t>-4,59%</t>
        </is>
      </c>
      <c r="CP101" s="102" t="inlineStr">
        <is>
          <t>22</t>
        </is>
      </c>
      <c r="CQ101" s="103" t="inlineStr">
        <is>
          <t>-1,23%</t>
        </is>
      </c>
      <c r="CR101" s="104" t="inlineStr">
        <is>
          <t>7</t>
        </is>
      </c>
      <c r="CS101" s="105" t="inlineStr">
        <is>
          <t>0,10%</t>
        </is>
      </c>
      <c r="CT101" s="106" t="inlineStr">
        <is>
          <t>56</t>
        </is>
      </c>
      <c r="CU101" s="107" t="inlineStr">
        <is>
          <t>0,16%</t>
        </is>
      </c>
      <c r="CV101" s="108" t="inlineStr">
        <is>
          <t>73</t>
        </is>
      </c>
      <c r="CW101" s="109" t="inlineStr">
        <is>
          <t>3,00x</t>
        </is>
      </c>
      <c r="CX101" s="110" t="inlineStr">
        <is>
          <t>72</t>
        </is>
      </c>
      <c r="CY101" s="111" t="inlineStr">
        <is>
          <t>-0,04x</t>
        </is>
      </c>
      <c r="CZ101" s="112" t="inlineStr">
        <is>
          <t>-1,26%</t>
        </is>
      </c>
      <c r="DA101" s="113" t="inlineStr">
        <is>
          <t>3,72x</t>
        </is>
      </c>
      <c r="DB101" s="114" t="inlineStr">
        <is>
          <t>77</t>
        </is>
      </c>
      <c r="DC101" s="115" t="inlineStr">
        <is>
          <t>2,28x</t>
        </is>
      </c>
      <c r="DD101" s="116" t="inlineStr">
        <is>
          <t>64</t>
        </is>
      </c>
      <c r="DE101" s="117" t="inlineStr">
        <is>
          <t>1,14x</t>
        </is>
      </c>
      <c r="DF101" s="118" t="inlineStr">
        <is>
          <t>54</t>
        </is>
      </c>
      <c r="DG101" s="119" t="inlineStr">
        <is>
          <t>6,31x</t>
        </is>
      </c>
      <c r="DH101" s="120" t="inlineStr">
        <is>
          <t>82</t>
        </is>
      </c>
      <c r="DI101" s="121" t="inlineStr">
        <is>
          <t>0,47x</t>
        </is>
      </c>
      <c r="DJ101" s="122" t="inlineStr">
        <is>
          <t>38</t>
        </is>
      </c>
      <c r="DK101" s="123" t="inlineStr">
        <is>
          <t>4,10x</t>
        </is>
      </c>
      <c r="DL101" s="124" t="inlineStr">
        <is>
          <t>76</t>
        </is>
      </c>
      <c r="DM101" s="125" t="inlineStr">
        <is>
          <t>440</t>
        </is>
      </c>
      <c r="DN101" s="126" t="inlineStr">
        <is>
          <t>-87</t>
        </is>
      </c>
      <c r="DO101" s="127" t="inlineStr">
        <is>
          <t>-16,51%</t>
        </is>
      </c>
      <c r="DP101" s="128" t="inlineStr">
        <is>
          <t>369</t>
        </is>
      </c>
      <c r="DQ101" s="129" t="inlineStr">
        <is>
          <t>0</t>
        </is>
      </c>
      <c r="DR101" s="130" t="inlineStr">
        <is>
          <t>0,00%</t>
        </is>
      </c>
      <c r="DS101" s="131" t="inlineStr">
        <is>
          <t>228</t>
        </is>
      </c>
      <c r="DT101" s="132" t="inlineStr">
        <is>
          <t>-5</t>
        </is>
      </c>
      <c r="DU101" s="133" t="inlineStr">
        <is>
          <t>-2,15%</t>
        </is>
      </c>
      <c r="DV101" s="134" t="inlineStr">
        <is>
          <t>1.532</t>
        </is>
      </c>
      <c r="DW101" s="135" t="inlineStr">
        <is>
          <t>4</t>
        </is>
      </c>
      <c r="DX101" s="136" t="inlineStr">
        <is>
          <t>0,26%</t>
        </is>
      </c>
      <c r="DY101" s="137" t="inlineStr">
        <is>
          <t>PitchBook Research</t>
        </is>
      </c>
      <c r="DZ101" s="785">
        <f>HYPERLINK("https://my.pitchbook.com?c=53871-94", "View company online")</f>
      </c>
    </row>
    <row r="102">
      <c r="A102" s="139" t="inlineStr">
        <is>
          <t>55069-39</t>
        </is>
      </c>
      <c r="B102" s="140" t="inlineStr">
        <is>
          <t>Monoqi</t>
        </is>
      </c>
      <c r="C102" s="141" t="inlineStr">
        <is>
          <t/>
        </is>
      </c>
      <c r="D102" s="142" t="inlineStr">
        <is>
          <t/>
        </is>
      </c>
      <c r="E102" s="143" t="inlineStr">
        <is>
          <t>55069-39</t>
        </is>
      </c>
      <c r="F102" s="144" t="inlineStr">
        <is>
          <t>Provider of an online shopping platform intended to offer hand-picked design products. The company's online furniture platform offers a curated selection of hard-to-find and limited-edition design products of furniture and home accessories by international interior, tech and accessory designers, enabling design brands and buyers to do business online.</t>
        </is>
      </c>
      <c r="G102" s="145" t="inlineStr">
        <is>
          <t>Consumer Products and Services (B2C)</t>
        </is>
      </c>
      <c r="H102" s="146" t="inlineStr">
        <is>
          <t>Consumer Durables</t>
        </is>
      </c>
      <c r="I102" s="147" t="inlineStr">
        <is>
          <t>Home Furnishings</t>
        </is>
      </c>
      <c r="J102" s="148" t="inlineStr">
        <is>
          <t>Home Furnishings*; Internet Retail; Social/Platform Software</t>
        </is>
      </c>
      <c r="K102" s="149" t="inlineStr">
        <is>
          <t>E-Commerce</t>
        </is>
      </c>
      <c r="L102" s="150" t="inlineStr">
        <is>
          <t>Venture Capital-Backed</t>
        </is>
      </c>
      <c r="M102" s="151" t="n">
        <v>18.25</v>
      </c>
      <c r="N102" s="152" t="inlineStr">
        <is>
          <t>Generating Revenue</t>
        </is>
      </c>
      <c r="O102" s="153" t="inlineStr">
        <is>
          <t>Privately Held (backing)</t>
        </is>
      </c>
      <c r="P102" s="154" t="inlineStr">
        <is>
          <t>Venture Capital</t>
        </is>
      </c>
      <c r="Q102" s="155" t="inlineStr">
        <is>
          <t>www.monoqi.com</t>
        </is>
      </c>
      <c r="R102" s="156" t="n">
        <v>100.0</v>
      </c>
      <c r="S102" s="157" t="inlineStr">
        <is>
          <t/>
        </is>
      </c>
      <c r="T102" s="158" t="inlineStr">
        <is>
          <t/>
        </is>
      </c>
      <c r="U102" s="159" t="n">
        <v>2012.0</v>
      </c>
      <c r="V102" s="160" t="inlineStr">
        <is>
          <t/>
        </is>
      </c>
      <c r="W102" s="161" t="inlineStr">
        <is>
          <t/>
        </is>
      </c>
      <c r="X102" s="162" t="inlineStr">
        <is>
          <t/>
        </is>
      </c>
      <c r="Y102" s="163" t="n">
        <v>24.13213</v>
      </c>
      <c r="Z102" s="164" t="inlineStr">
        <is>
          <t/>
        </is>
      </c>
      <c r="AA102" s="165" t="inlineStr">
        <is>
          <t/>
        </is>
      </c>
      <c r="AB102" s="166" t="inlineStr">
        <is>
          <t/>
        </is>
      </c>
      <c r="AC102" s="167" t="inlineStr">
        <is>
          <t/>
        </is>
      </c>
      <c r="AD102" s="168" t="inlineStr">
        <is>
          <t>FY 2016</t>
        </is>
      </c>
      <c r="AE102" s="169" t="inlineStr">
        <is>
          <t>47914-93P</t>
        </is>
      </c>
      <c r="AF102" s="170" t="inlineStr">
        <is>
          <t>Felix Schlegel</t>
        </is>
      </c>
      <c r="AG102" s="171" t="inlineStr">
        <is>
          <t>Co-Founder &amp; Managing Director</t>
        </is>
      </c>
      <c r="AH102" s="172" t="inlineStr">
        <is>
          <t/>
        </is>
      </c>
      <c r="AI102" s="173" t="inlineStr">
        <is>
          <t>+49 (0)30 2201 2147 0</t>
        </is>
      </c>
      <c r="AJ102" s="174" t="inlineStr">
        <is>
          <t>Berlin, Germany</t>
        </is>
      </c>
      <c r="AK102" s="175" t="inlineStr">
        <is>
          <t>Gormannstrasse 22</t>
        </is>
      </c>
      <c r="AL102" s="176" t="inlineStr">
        <is>
          <t/>
        </is>
      </c>
      <c r="AM102" s="177" t="inlineStr">
        <is>
          <t>Berlin</t>
        </is>
      </c>
      <c r="AN102" s="178" t="inlineStr">
        <is>
          <t/>
        </is>
      </c>
      <c r="AO102" s="179" t="inlineStr">
        <is>
          <t>10119</t>
        </is>
      </c>
      <c r="AP102" s="180" t="inlineStr">
        <is>
          <t>Germany</t>
        </is>
      </c>
      <c r="AQ102" s="181" t="inlineStr">
        <is>
          <t>+49 (0)30 2201 2147 0</t>
        </is>
      </c>
      <c r="AR102" s="182" t="inlineStr">
        <is>
          <t/>
        </is>
      </c>
      <c r="AS102" s="183" t="inlineStr">
        <is>
          <t>hello@monoqi.com</t>
        </is>
      </c>
      <c r="AT102" s="184" t="inlineStr">
        <is>
          <t>Europe</t>
        </is>
      </c>
      <c r="AU102" s="185" t="inlineStr">
        <is>
          <t>Western Europe</t>
        </is>
      </c>
      <c r="AV102" s="186" t="inlineStr">
        <is>
          <t>The comany raised EUR 15 million of Series C venture funding from lead investor Al Jazeera Al Hadina on June 1, 2017. The company will use the funding to expand into Middle East. EUR 5 million of the total funding will be used for a joint venture to be launched in Dubai and Riyadh.</t>
        </is>
      </c>
      <c r="AW102" s="187" t="inlineStr">
        <is>
          <t>Advance Venture Partners, Al Jazeera Al Hadina, Atlantic Labs, btov Partners, Christophe Maire, Condé Nast, Dario Suter, DCM Startups, Kite Ventures, Raffay</t>
        </is>
      </c>
      <c r="AX102" s="188" t="n">
        <v>10.0</v>
      </c>
      <c r="AY102" s="189" t="inlineStr">
        <is>
          <t/>
        </is>
      </c>
      <c r="AZ102" s="190" t="inlineStr">
        <is>
          <t>Hasso Plattner Ventures</t>
        </is>
      </c>
      <c r="BA102" s="191" t="inlineStr">
        <is>
          <t/>
        </is>
      </c>
      <c r="BB102" s="192" t="inlineStr">
        <is>
          <t>Advance Venture Partners (www.avpgrowth.com), Atlantic Labs (www.atlanticlabs.de), btov Partners (www.btov.vc), Condé Nast (www.condenast.com), Kite Ventures (www.kiteventures.com), Raffay (www.raffay.com)</t>
        </is>
      </c>
      <c r="BC102" s="193" t="inlineStr">
        <is>
          <t>Hasso Plattner Ventures (www.hp-ventures.com)</t>
        </is>
      </c>
      <c r="BD102" s="194" t="inlineStr">
        <is>
          <t/>
        </is>
      </c>
      <c r="BE102" s="195" t="inlineStr">
        <is>
          <t/>
        </is>
      </c>
      <c r="BF102" s="196" t="inlineStr">
        <is>
          <t>Davidson Technology Growth Debt (Debt Financing)</t>
        </is>
      </c>
      <c r="BG102" s="197" t="n">
        <v>41142.0</v>
      </c>
      <c r="BH102" s="198" t="inlineStr">
        <is>
          <t/>
        </is>
      </c>
      <c r="BI102" s="199" t="inlineStr">
        <is>
          <t/>
        </is>
      </c>
      <c r="BJ102" s="200" t="inlineStr">
        <is>
          <t/>
        </is>
      </c>
      <c r="BK102" s="201" t="inlineStr">
        <is>
          <t/>
        </is>
      </c>
      <c r="BL102" s="202" t="inlineStr">
        <is>
          <t>Early Stage VC</t>
        </is>
      </c>
      <c r="BM102" s="203" t="inlineStr">
        <is>
          <t/>
        </is>
      </c>
      <c r="BN102" s="204" t="inlineStr">
        <is>
          <t/>
        </is>
      </c>
      <c r="BO102" s="205" t="inlineStr">
        <is>
          <t>Venture Capital</t>
        </is>
      </c>
      <c r="BP102" s="206" t="inlineStr">
        <is>
          <t/>
        </is>
      </c>
      <c r="BQ102" s="207" t="inlineStr">
        <is>
          <t/>
        </is>
      </c>
      <c r="BR102" s="208" t="inlineStr">
        <is>
          <t/>
        </is>
      </c>
      <c r="BS102" s="209" t="inlineStr">
        <is>
          <t>Completed</t>
        </is>
      </c>
      <c r="BT102" s="210" t="n">
        <v>42887.0</v>
      </c>
      <c r="BU102" s="211" t="n">
        <v>15.0</v>
      </c>
      <c r="BV102" s="212" t="inlineStr">
        <is>
          <t>Actual</t>
        </is>
      </c>
      <c r="BW102" s="213" t="inlineStr">
        <is>
          <t/>
        </is>
      </c>
      <c r="BX102" s="214" t="inlineStr">
        <is>
          <t/>
        </is>
      </c>
      <c r="BY102" s="215" t="inlineStr">
        <is>
          <t>Later Stage VC</t>
        </is>
      </c>
      <c r="BZ102" s="216" t="inlineStr">
        <is>
          <t>Series C</t>
        </is>
      </c>
      <c r="CA102" s="217" t="inlineStr">
        <is>
          <t/>
        </is>
      </c>
      <c r="CB102" s="218" t="inlineStr">
        <is>
          <t>Venture Capital</t>
        </is>
      </c>
      <c r="CC102" s="219" t="inlineStr">
        <is>
          <t/>
        </is>
      </c>
      <c r="CD102" s="220" t="inlineStr">
        <is>
          <t/>
        </is>
      </c>
      <c r="CE102" s="221" t="inlineStr">
        <is>
          <t/>
        </is>
      </c>
      <c r="CF102" s="222" t="inlineStr">
        <is>
          <t>Completed</t>
        </is>
      </c>
      <c r="CG102" s="223" t="inlineStr">
        <is>
          <t>-4,26%</t>
        </is>
      </c>
      <c r="CH102" s="224" t="inlineStr">
        <is>
          <t>5</t>
        </is>
      </c>
      <c r="CI102" s="225" t="inlineStr">
        <is>
          <t>-0,03%</t>
        </is>
      </c>
      <c r="CJ102" s="226" t="inlineStr">
        <is>
          <t>-0,69%</t>
        </is>
      </c>
      <c r="CK102" s="227" t="inlineStr">
        <is>
          <t>-13,23%</t>
        </is>
      </c>
      <c r="CL102" s="228" t="inlineStr">
        <is>
          <t>2</t>
        </is>
      </c>
      <c r="CM102" s="229" t="inlineStr">
        <is>
          <t>0,34%</t>
        </is>
      </c>
      <c r="CN102" s="230" t="inlineStr">
        <is>
          <t>82</t>
        </is>
      </c>
      <c r="CO102" s="231" t="inlineStr">
        <is>
          <t>-24,54%</t>
        </is>
      </c>
      <c r="CP102" s="232" t="inlineStr">
        <is>
          <t>3</t>
        </is>
      </c>
      <c r="CQ102" s="233" t="inlineStr">
        <is>
          <t>-1,93%</t>
        </is>
      </c>
      <c r="CR102" s="234" t="inlineStr">
        <is>
          <t>3</t>
        </is>
      </c>
      <c r="CS102" s="235" t="inlineStr">
        <is>
          <t>0,64%</t>
        </is>
      </c>
      <c r="CT102" s="236" t="inlineStr">
        <is>
          <t>90</t>
        </is>
      </c>
      <c r="CU102" s="237" t="inlineStr">
        <is>
          <t>0,03%</t>
        </is>
      </c>
      <c r="CV102" s="238" t="inlineStr">
        <is>
          <t>56</t>
        </is>
      </c>
      <c r="CW102" s="239" t="inlineStr">
        <is>
          <t>74,90x</t>
        </is>
      </c>
      <c r="CX102" s="240" t="inlineStr">
        <is>
          <t>98</t>
        </is>
      </c>
      <c r="CY102" s="241" t="inlineStr">
        <is>
          <t>0,01x</t>
        </is>
      </c>
      <c r="CZ102" s="242" t="inlineStr">
        <is>
          <t>0,01%</t>
        </is>
      </c>
      <c r="DA102" s="243" t="inlineStr">
        <is>
          <t>7,63x</t>
        </is>
      </c>
      <c r="DB102" s="244" t="inlineStr">
        <is>
          <t>86</t>
        </is>
      </c>
      <c r="DC102" s="245" t="inlineStr">
        <is>
          <t>216,71x</t>
        </is>
      </c>
      <c r="DD102" s="246" t="inlineStr">
        <is>
          <t>98</t>
        </is>
      </c>
      <c r="DE102" s="247" t="inlineStr">
        <is>
          <t>4,95x</t>
        </is>
      </c>
      <c r="DF102" s="248" t="inlineStr">
        <is>
          <t>81</t>
        </is>
      </c>
      <c r="DG102" s="249" t="inlineStr">
        <is>
          <t>10,31x</t>
        </is>
      </c>
      <c r="DH102" s="250" t="inlineStr">
        <is>
          <t>87</t>
        </is>
      </c>
      <c r="DI102" s="251" t="inlineStr">
        <is>
          <t>422,40x</t>
        </is>
      </c>
      <c r="DJ102" s="252" t="inlineStr">
        <is>
          <t>98</t>
        </is>
      </c>
      <c r="DK102" s="253" t="inlineStr">
        <is>
          <t>11,02x</t>
        </is>
      </c>
      <c r="DL102" s="254" t="inlineStr">
        <is>
          <t>88</t>
        </is>
      </c>
      <c r="DM102" s="255" t="inlineStr">
        <is>
          <t>1.816</t>
        </is>
      </c>
      <c r="DN102" s="256" t="inlineStr">
        <is>
          <t>92</t>
        </is>
      </c>
      <c r="DO102" s="257" t="inlineStr">
        <is>
          <t>5,34%</t>
        </is>
      </c>
      <c r="DP102" s="258" t="inlineStr">
        <is>
          <t>333.688</t>
        </is>
      </c>
      <c r="DQ102" s="259" t="inlineStr">
        <is>
          <t>3.535</t>
        </is>
      </c>
      <c r="DR102" s="260" t="inlineStr">
        <is>
          <t>1,07%</t>
        </is>
      </c>
      <c r="DS102" s="261" t="inlineStr">
        <is>
          <t>374</t>
        </is>
      </c>
      <c r="DT102" s="262" t="inlineStr">
        <is>
          <t>-8</t>
        </is>
      </c>
      <c r="DU102" s="263" t="inlineStr">
        <is>
          <t>-2,09%</t>
        </is>
      </c>
      <c r="DV102" s="264" t="inlineStr">
        <is>
          <t>4.124</t>
        </is>
      </c>
      <c r="DW102" s="265" t="inlineStr">
        <is>
          <t>1</t>
        </is>
      </c>
      <c r="DX102" s="266" t="inlineStr">
        <is>
          <t>0,02%</t>
        </is>
      </c>
      <c r="DY102" s="267" t="inlineStr">
        <is>
          <t>PitchBook Research</t>
        </is>
      </c>
      <c r="DZ102" s="786">
        <f>HYPERLINK("https://my.pitchbook.com?c=55069-39", "View company online")</f>
      </c>
    </row>
    <row r="103">
      <c r="A103" s="9" t="inlineStr">
        <is>
          <t>54767-98</t>
        </is>
      </c>
      <c r="B103" s="10" t="inlineStr">
        <is>
          <t>Hundeland.de</t>
        </is>
      </c>
      <c r="C103" s="11" t="inlineStr">
        <is>
          <t>Namen Siegershop</t>
        </is>
      </c>
      <c r="D103" s="12" t="inlineStr">
        <is>
          <t/>
        </is>
      </c>
      <c r="E103" s="13" t="inlineStr">
        <is>
          <t>54767-98</t>
        </is>
      </c>
      <c r="F103" s="14" t="inlineStr">
        <is>
          <t>Provider of an online retail platform designed to sell dog food and accessories. The company's online retail platform offers food, accessories and services for dogs, cats, fish and horses, enabling pet owners to purchase from a range of products for their pets.</t>
        </is>
      </c>
      <c r="G103" s="15" t="inlineStr">
        <is>
          <t>Consumer Products and Services (B2C)</t>
        </is>
      </c>
      <c r="H103" s="16" t="inlineStr">
        <is>
          <t>Retail</t>
        </is>
      </c>
      <c r="I103" s="17" t="inlineStr">
        <is>
          <t>Internet Retail</t>
        </is>
      </c>
      <c r="J103" s="18" t="inlineStr">
        <is>
          <t>Internet Retail*; Other Consumer Non-Durables; Specialty Retail</t>
        </is>
      </c>
      <c r="K103" s="19" t="inlineStr">
        <is>
          <t>E-Commerce</t>
        </is>
      </c>
      <c r="L103" s="20" t="inlineStr">
        <is>
          <t>Venture Capital-Backed</t>
        </is>
      </c>
      <c r="M103" s="21" t="n">
        <v>18.0</v>
      </c>
      <c r="N103" s="22" t="inlineStr">
        <is>
          <t>Generating Revenue</t>
        </is>
      </c>
      <c r="O103" s="23" t="inlineStr">
        <is>
          <t>Privately Held (backing)</t>
        </is>
      </c>
      <c r="P103" s="24" t="inlineStr">
        <is>
          <t>Venture Capital</t>
        </is>
      </c>
      <c r="Q103" s="25" t="inlineStr">
        <is>
          <t>www.hundeland.de</t>
        </is>
      </c>
      <c r="R103" s="26" t="n">
        <v>70.0</v>
      </c>
      <c r="S103" s="27" t="inlineStr">
        <is>
          <t/>
        </is>
      </c>
      <c r="T103" s="28" t="inlineStr">
        <is>
          <t/>
        </is>
      </c>
      <c r="U103" s="29" t="n">
        <v>2011.0</v>
      </c>
      <c r="V103" s="30" t="inlineStr">
        <is>
          <t/>
        </is>
      </c>
      <c r="W103" s="31" t="inlineStr">
        <is>
          <t/>
        </is>
      </c>
      <c r="X103" s="32" t="inlineStr">
        <is>
          <t/>
        </is>
      </c>
      <c r="Y103" s="33" t="n">
        <v>12.17565</v>
      </c>
      <c r="Z103" s="34" t="inlineStr">
        <is>
          <t/>
        </is>
      </c>
      <c r="AA103" s="35" t="inlineStr">
        <is>
          <t/>
        </is>
      </c>
      <c r="AB103" s="36" t="inlineStr">
        <is>
          <t/>
        </is>
      </c>
      <c r="AC103" s="37" t="inlineStr">
        <is>
          <t/>
        </is>
      </c>
      <c r="AD103" s="38" t="inlineStr">
        <is>
          <t>FY 2014</t>
        </is>
      </c>
      <c r="AE103" s="39" t="inlineStr">
        <is>
          <t>130985-47P</t>
        </is>
      </c>
      <c r="AF103" s="40" t="inlineStr">
        <is>
          <t>Jochen Missel</t>
        </is>
      </c>
      <c r="AG103" s="41" t="inlineStr">
        <is>
          <t>Managing Director</t>
        </is>
      </c>
      <c r="AH103" s="42" t="inlineStr">
        <is>
          <t>j.missel@katzenland.de</t>
        </is>
      </c>
      <c r="AI103" s="43" t="inlineStr">
        <is>
          <t>+49 (0)89 7167 7898 1</t>
        </is>
      </c>
      <c r="AJ103" s="44" t="inlineStr">
        <is>
          <t>Munich, Germany</t>
        </is>
      </c>
      <c r="AK103" s="45" t="inlineStr">
        <is>
          <t>Landsberger Str. 234</t>
        </is>
      </c>
      <c r="AL103" s="46" t="inlineStr">
        <is>
          <t/>
        </is>
      </c>
      <c r="AM103" s="47" t="inlineStr">
        <is>
          <t>Munich</t>
        </is>
      </c>
      <c r="AN103" s="48" t="inlineStr">
        <is>
          <t/>
        </is>
      </c>
      <c r="AO103" s="49" t="inlineStr">
        <is>
          <t>80687</t>
        </is>
      </c>
      <c r="AP103" s="50" t="inlineStr">
        <is>
          <t>Germany</t>
        </is>
      </c>
      <c r="AQ103" s="51" t="inlineStr">
        <is>
          <t>+49 (0)89 7167 7898 1</t>
        </is>
      </c>
      <c r="AR103" s="52" t="inlineStr">
        <is>
          <t/>
        </is>
      </c>
      <c r="AS103" s="53" t="inlineStr">
        <is>
          <t/>
        </is>
      </c>
      <c r="AT103" s="54" t="inlineStr">
        <is>
          <t>Europe</t>
        </is>
      </c>
      <c r="AU103" s="55" t="inlineStr">
        <is>
          <t>Western Europe</t>
        </is>
      </c>
      <c r="AV103" s="56" t="inlineStr">
        <is>
          <t>The company raised EUR 13 million of venture funding from Reimann Investors, Mountain Partners and Heliad Equity Partners on June 5, 2017. Deutsche Handelsbank, K-Investand Venture Stars also participated. The company will use the funds to continue to expand operations.</t>
        </is>
      </c>
      <c r="AW103" s="57" t="inlineStr">
        <is>
          <t>Blumberg Capital, Chrysos, Deutsche Handelsbank, German Media Pool, German Startups Group, Heliad Equity Partners, Individual Investor, K-Invest, Logan Capital, Monkfish Equity, Mountain Partners, Point Nine Capital, ProSiebenSat.1 Media, Raffay, Reimann Investors, Venture Stars</t>
        </is>
      </c>
      <c r="AX103" s="58" t="n">
        <v>16.0</v>
      </c>
      <c r="AY103" s="59" t="inlineStr">
        <is>
          <t/>
        </is>
      </c>
      <c r="AZ103" s="60" t="inlineStr">
        <is>
          <t/>
        </is>
      </c>
      <c r="BA103" s="61" t="inlineStr">
        <is>
          <t/>
        </is>
      </c>
      <c r="BB103" s="62" t="inlineStr">
        <is>
          <t>Blumberg Capital (www.blumbergcapital.com), Deutsche Handelsbank (www.handelsbank.com), German Media Pool (www.germanmediapool.com), German Startups Group (www.german-startups.com), Heliad Equity Partners (www.heliad.com), K-Invest (k-invest.de), Logan Capital (www.super-angel.ch), Monkfish Equity (www.monkfish-equity.com), Mountain Partners (www.mountain.partners), Point Nine Capital (www.pointninecap.com), ProSiebenSat.1 Media (www.prosiebensat1.com), Raffay (www.raffay.com), Reimann Investors (www.reimann-investors.com), Venture Stars (www.venture-stars.com)</t>
        </is>
      </c>
      <c r="BC103" s="63" t="inlineStr">
        <is>
          <t/>
        </is>
      </c>
      <c r="BD103" s="64" t="inlineStr">
        <is>
          <t/>
        </is>
      </c>
      <c r="BE103" s="65" t="inlineStr">
        <is>
          <t/>
        </is>
      </c>
      <c r="BF103" s="66" t="inlineStr">
        <is>
          <t>P+P Pöllath + Partners (Legal Advisor), LD&amp;A Jupiter (Advisor: General)</t>
        </is>
      </c>
      <c r="BG103" s="67" t="n">
        <v>40909.0</v>
      </c>
      <c r="BH103" s="68" t="inlineStr">
        <is>
          <t/>
        </is>
      </c>
      <c r="BI103" s="69" t="inlineStr">
        <is>
          <t/>
        </is>
      </c>
      <c r="BJ103" s="70" t="inlineStr">
        <is>
          <t/>
        </is>
      </c>
      <c r="BK103" s="71" t="inlineStr">
        <is>
          <t/>
        </is>
      </c>
      <c r="BL103" s="72" t="inlineStr">
        <is>
          <t>Accelerator/Incubator</t>
        </is>
      </c>
      <c r="BM103" s="73" t="inlineStr">
        <is>
          <t/>
        </is>
      </c>
      <c r="BN103" s="74" t="inlineStr">
        <is>
          <t/>
        </is>
      </c>
      <c r="BO103" s="75" t="inlineStr">
        <is>
          <t>Other</t>
        </is>
      </c>
      <c r="BP103" s="76" t="inlineStr">
        <is>
          <t/>
        </is>
      </c>
      <c r="BQ103" s="77" t="inlineStr">
        <is>
          <t/>
        </is>
      </c>
      <c r="BR103" s="78" t="inlineStr">
        <is>
          <t/>
        </is>
      </c>
      <c r="BS103" s="79" t="inlineStr">
        <is>
          <t>Completed</t>
        </is>
      </c>
      <c r="BT103" s="80" t="n">
        <v>42891.0</v>
      </c>
      <c r="BU103" s="81" t="n">
        <v>13.0</v>
      </c>
      <c r="BV103" s="82" t="inlineStr">
        <is>
          <t>Actual</t>
        </is>
      </c>
      <c r="BW103" s="83" t="inlineStr">
        <is>
          <t/>
        </is>
      </c>
      <c r="BX103" s="84" t="inlineStr">
        <is>
          <t/>
        </is>
      </c>
      <c r="BY103" s="85" t="inlineStr">
        <is>
          <t>Later Stage VC</t>
        </is>
      </c>
      <c r="BZ103" s="86" t="inlineStr">
        <is>
          <t/>
        </is>
      </c>
      <c r="CA103" s="87" t="inlineStr">
        <is>
          <t/>
        </is>
      </c>
      <c r="CB103" s="88" t="inlineStr">
        <is>
          <t>Venture Capital</t>
        </is>
      </c>
      <c r="CC103" s="89" t="inlineStr">
        <is>
          <t/>
        </is>
      </c>
      <c r="CD103" s="90" t="inlineStr">
        <is>
          <t/>
        </is>
      </c>
      <c r="CE103" s="91" t="inlineStr">
        <is>
          <t/>
        </is>
      </c>
      <c r="CF103" s="92" t="inlineStr">
        <is>
          <t>Completed</t>
        </is>
      </c>
      <c r="CG103" s="93" t="inlineStr">
        <is>
          <t>0,34%</t>
        </is>
      </c>
      <c r="CH103" s="94" t="inlineStr">
        <is>
          <t>90</t>
        </is>
      </c>
      <c r="CI103" s="95" t="inlineStr">
        <is>
          <t>-0,01%</t>
        </is>
      </c>
      <c r="CJ103" s="96" t="inlineStr">
        <is>
          <t>-1,66%</t>
        </is>
      </c>
      <c r="CK103" s="97" t="inlineStr">
        <is>
          <t>-0,29%</t>
        </is>
      </c>
      <c r="CL103" s="98" t="inlineStr">
        <is>
          <t>26</t>
        </is>
      </c>
      <c r="CM103" s="99" t="inlineStr">
        <is>
          <t>-0,01%</t>
        </is>
      </c>
      <c r="CN103" s="100" t="inlineStr">
        <is>
          <t>18</t>
        </is>
      </c>
      <c r="CO103" s="101" t="inlineStr">
        <is>
          <t>0,18%</t>
        </is>
      </c>
      <c r="CP103" s="102" t="inlineStr">
        <is>
          <t>91</t>
        </is>
      </c>
      <c r="CQ103" s="103" t="inlineStr">
        <is>
          <t>-0,76%</t>
        </is>
      </c>
      <c r="CR103" s="104" t="inlineStr">
        <is>
          <t>13</t>
        </is>
      </c>
      <c r="CS103" s="105" t="inlineStr">
        <is>
          <t>-0,02%</t>
        </is>
      </c>
      <c r="CT103" s="106" t="inlineStr">
        <is>
          <t>14</t>
        </is>
      </c>
      <c r="CU103" s="107" t="inlineStr">
        <is>
          <t>0,00%</t>
        </is>
      </c>
      <c r="CV103" s="108" t="inlineStr">
        <is>
          <t>21</t>
        </is>
      </c>
      <c r="CW103" s="109" t="inlineStr">
        <is>
          <t>26,43x</t>
        </is>
      </c>
      <c r="CX103" s="110" t="inlineStr">
        <is>
          <t>94</t>
        </is>
      </c>
      <c r="CY103" s="111" t="inlineStr">
        <is>
          <t>-0,08x</t>
        </is>
      </c>
      <c r="CZ103" s="112" t="inlineStr">
        <is>
          <t>-0,31%</t>
        </is>
      </c>
      <c r="DA103" s="113" t="inlineStr">
        <is>
          <t>60,34x</t>
        </is>
      </c>
      <c r="DB103" s="114" t="inlineStr">
        <is>
          <t>98</t>
        </is>
      </c>
      <c r="DC103" s="115" t="inlineStr">
        <is>
          <t>18,72x</t>
        </is>
      </c>
      <c r="DD103" s="116" t="inlineStr">
        <is>
          <t>89</t>
        </is>
      </c>
      <c r="DE103" s="117" t="inlineStr">
        <is>
          <t>98,81x</t>
        </is>
      </c>
      <c r="DF103" s="118" t="inlineStr">
        <is>
          <t>98</t>
        </is>
      </c>
      <c r="DG103" s="119" t="inlineStr">
        <is>
          <t>21,86x</t>
        </is>
      </c>
      <c r="DH103" s="120" t="inlineStr">
        <is>
          <t>94</t>
        </is>
      </c>
      <c r="DI103" s="121" t="inlineStr">
        <is>
          <t>37,32x</t>
        </is>
      </c>
      <c r="DJ103" s="122" t="inlineStr">
        <is>
          <t>91</t>
        </is>
      </c>
      <c r="DK103" s="123" t="inlineStr">
        <is>
          <t>0,12x</t>
        </is>
      </c>
      <c r="DL103" s="124" t="inlineStr">
        <is>
          <t>18</t>
        </is>
      </c>
      <c r="DM103" s="125" t="inlineStr">
        <is>
          <t>36.578</t>
        </is>
      </c>
      <c r="DN103" s="126" t="inlineStr">
        <is>
          <t>242</t>
        </is>
      </c>
      <c r="DO103" s="127" t="inlineStr">
        <is>
          <t>0,67%</t>
        </is>
      </c>
      <c r="DP103" s="128" t="inlineStr">
        <is>
          <t>29.567</t>
        </is>
      </c>
      <c r="DQ103" s="129" t="inlineStr">
        <is>
          <t>-4</t>
        </is>
      </c>
      <c r="DR103" s="130" t="inlineStr">
        <is>
          <t>-0,01%</t>
        </is>
      </c>
      <c r="DS103" s="131" t="inlineStr">
        <is>
          <t>790</t>
        </is>
      </c>
      <c r="DT103" s="132" t="inlineStr">
        <is>
          <t>-6</t>
        </is>
      </c>
      <c r="DU103" s="133" t="inlineStr">
        <is>
          <t>-0,75%</t>
        </is>
      </c>
      <c r="DV103" s="134" t="inlineStr">
        <is>
          <t>44</t>
        </is>
      </c>
      <c r="DW103" s="135" t="inlineStr">
        <is>
          <t>0</t>
        </is>
      </c>
      <c r="DX103" s="136" t="inlineStr">
        <is>
          <t>0,00%</t>
        </is>
      </c>
      <c r="DY103" s="137" t="inlineStr">
        <is>
          <t>PitchBook Research</t>
        </is>
      </c>
      <c r="DZ103" s="785">
        <f>HYPERLINK("https://my.pitchbook.com?c=54767-98", "View company online")</f>
      </c>
    </row>
    <row r="104">
      <c r="A104" s="139" t="inlineStr">
        <is>
          <t>60605-65</t>
        </is>
      </c>
      <c r="B104" s="140" t="inlineStr">
        <is>
          <t>Treasury Intelligence Solutions</t>
        </is>
      </c>
      <c r="C104" s="141" t="inlineStr">
        <is>
          <t/>
        </is>
      </c>
      <c r="D104" s="142" t="inlineStr">
        <is>
          <t>TIS, Treasury Intelligence Solutions Bulgaria Ltd.</t>
        </is>
      </c>
      <c r="E104" s="143" t="inlineStr">
        <is>
          <t>60605-65</t>
        </is>
      </c>
      <c r="F104" s="144" t="inlineStr">
        <is>
          <t>Provider of a cloud-based treasury management platform designed to manage corporate payments, liquidity and bank relationships. The company's treasury management platform is integrated with a multibank-capable, audit-proof cloud platform that helps to make better decisions when analyzing financial and operational performance and document all treasury management processes based on real-time payment flows, enabling medium-sized and large corporate to delivers critical advantages for international operating customers, immediate worldwide roll outs and problem-free updates.</t>
        </is>
      </c>
      <c r="G104" s="145" t="inlineStr">
        <is>
          <t>Financial Services</t>
        </is>
      </c>
      <c r="H104" s="146" t="inlineStr">
        <is>
          <t>Other Financial Services</t>
        </is>
      </c>
      <c r="I104" s="147" t="inlineStr">
        <is>
          <t>Other Financial Services</t>
        </is>
      </c>
      <c r="J104" s="148" t="inlineStr">
        <is>
          <t>Other Financial Services*; Financial Software</t>
        </is>
      </c>
      <c r="K104" s="149" t="inlineStr">
        <is>
          <t>FinTech, SaaS</t>
        </is>
      </c>
      <c r="L104" s="150" t="inlineStr">
        <is>
          <t>Venture Capital-Backed</t>
        </is>
      </c>
      <c r="M104" s="151" t="n">
        <v>17.71</v>
      </c>
      <c r="N104" s="152" t="inlineStr">
        <is>
          <t>Generating Revenue</t>
        </is>
      </c>
      <c r="O104" s="153" t="inlineStr">
        <is>
          <t>Privately Held (backing)</t>
        </is>
      </c>
      <c r="P104" s="154" t="inlineStr">
        <is>
          <t>Venture Capital</t>
        </is>
      </c>
      <c r="Q104" s="155" t="inlineStr">
        <is>
          <t>www.tis.biz</t>
        </is>
      </c>
      <c r="R104" s="156" t="n">
        <v>41.0</v>
      </c>
      <c r="S104" s="157" t="inlineStr">
        <is>
          <t/>
        </is>
      </c>
      <c r="T104" s="158" t="inlineStr">
        <is>
          <t/>
        </is>
      </c>
      <c r="U104" s="159" t="n">
        <v>2010.0</v>
      </c>
      <c r="V104" s="160" t="inlineStr">
        <is>
          <t/>
        </is>
      </c>
      <c r="W104" s="161" t="inlineStr">
        <is>
          <t/>
        </is>
      </c>
      <c r="X104" s="162" t="inlineStr">
        <is>
          <t/>
        </is>
      </c>
      <c r="Y104" s="163" t="inlineStr">
        <is>
          <t/>
        </is>
      </c>
      <c r="Z104" s="164" t="inlineStr">
        <is>
          <t/>
        </is>
      </c>
      <c r="AA104" s="165" t="inlineStr">
        <is>
          <t/>
        </is>
      </c>
      <c r="AB104" s="166" t="inlineStr">
        <is>
          <t/>
        </is>
      </c>
      <c r="AC104" s="167" t="inlineStr">
        <is>
          <t/>
        </is>
      </c>
      <c r="AD104" s="168" t="inlineStr">
        <is>
          <t/>
        </is>
      </c>
      <c r="AE104" s="169" t="inlineStr">
        <is>
          <t>57555-37P</t>
        </is>
      </c>
      <c r="AF104" s="170" t="inlineStr">
        <is>
          <t>Jörg Wiemer</t>
        </is>
      </c>
      <c r="AG104" s="171" t="inlineStr">
        <is>
          <t>Co-Founder &amp; Chief Executive Officer</t>
        </is>
      </c>
      <c r="AH104" s="172" t="inlineStr">
        <is>
          <t>joerg.wierner@tis.biz</t>
        </is>
      </c>
      <c r="AI104" s="173" t="inlineStr">
        <is>
          <t>+49 (0)62 2769 8240</t>
        </is>
      </c>
      <c r="AJ104" s="174" t="inlineStr">
        <is>
          <t>Walldorf, Germany</t>
        </is>
      </c>
      <c r="AK104" s="175" t="inlineStr">
        <is>
          <t>Altrottstraße 31</t>
        </is>
      </c>
      <c r="AL104" s="176" t="inlineStr">
        <is>
          <t/>
        </is>
      </c>
      <c r="AM104" s="177" t="inlineStr">
        <is>
          <t>Walldorf</t>
        </is>
      </c>
      <c r="AN104" s="178" t="inlineStr">
        <is>
          <t/>
        </is>
      </c>
      <c r="AO104" s="179" t="inlineStr">
        <is>
          <t>69190</t>
        </is>
      </c>
      <c r="AP104" s="180" t="inlineStr">
        <is>
          <t>Germany</t>
        </is>
      </c>
      <c r="AQ104" s="181" t="inlineStr">
        <is>
          <t>+49 (0)62 2769 8240</t>
        </is>
      </c>
      <c r="AR104" s="182" t="inlineStr">
        <is>
          <t>+49 (0)62 2769 8249 7</t>
        </is>
      </c>
      <c r="AS104" s="183" t="inlineStr">
        <is>
          <t>info@tis.biz</t>
        </is>
      </c>
      <c r="AT104" s="184" t="inlineStr">
        <is>
          <t>Europe</t>
        </is>
      </c>
      <c r="AU104" s="185" t="inlineStr">
        <is>
          <t>Western Europe</t>
        </is>
      </c>
      <c r="AV104" s="186" t="inlineStr">
        <is>
          <t>The company raised $12 million of venture funding from 83North, Target Partners and Harbert Management on November 9, 2017. Zobito also participated in this round. The funds will be used to further accelerate product development and scale operations in Europe and the US.</t>
        </is>
      </c>
      <c r="AW104" s="187" t="inlineStr">
        <is>
          <t>83North, Harbert Management, Target Partners, Zobito</t>
        </is>
      </c>
      <c r="AX104" s="188" t="n">
        <v>4.0</v>
      </c>
      <c r="AY104" s="189" t="inlineStr">
        <is>
          <t/>
        </is>
      </c>
      <c r="AZ104" s="190" t="inlineStr">
        <is>
          <t/>
        </is>
      </c>
      <c r="BA104" s="191" t="inlineStr">
        <is>
          <t/>
        </is>
      </c>
      <c r="BB104" s="192" t="inlineStr">
        <is>
          <t>83North (www.83north.com), Harbert Management (www.harbert.net), Target Partners (www.targetpartners.de), Zobito (www.zobito.com)</t>
        </is>
      </c>
      <c r="BC104" s="193" t="inlineStr">
        <is>
          <t/>
        </is>
      </c>
      <c r="BD104" s="194" t="inlineStr">
        <is>
          <t/>
        </is>
      </c>
      <c r="BE104" s="195" t="inlineStr">
        <is>
          <t/>
        </is>
      </c>
      <c r="BF104" s="196" t="inlineStr">
        <is>
          <t>GP Bullhound (Advisor: General), Investitionsbank Berlin (Debt Financing), King &amp; Wood Mallesons (Legal Advisor)</t>
        </is>
      </c>
      <c r="BG104" s="197" t="n">
        <v>40682.0</v>
      </c>
      <c r="BH104" s="198" t="n">
        <v>2.5</v>
      </c>
      <c r="BI104" s="199" t="inlineStr">
        <is>
          <t>Actual</t>
        </is>
      </c>
      <c r="BJ104" s="200" t="inlineStr">
        <is>
          <t/>
        </is>
      </c>
      <c r="BK104" s="201" t="inlineStr">
        <is>
          <t/>
        </is>
      </c>
      <c r="BL104" s="202" t="inlineStr">
        <is>
          <t>Early Stage VC</t>
        </is>
      </c>
      <c r="BM104" s="203" t="inlineStr">
        <is>
          <t>Series A</t>
        </is>
      </c>
      <c r="BN104" s="204" t="inlineStr">
        <is>
          <t/>
        </is>
      </c>
      <c r="BO104" s="205" t="inlineStr">
        <is>
          <t>Venture Capital</t>
        </is>
      </c>
      <c r="BP104" s="206" t="inlineStr">
        <is>
          <t/>
        </is>
      </c>
      <c r="BQ104" s="207" t="inlineStr">
        <is>
          <t/>
        </is>
      </c>
      <c r="BR104" s="208" t="inlineStr">
        <is>
          <t/>
        </is>
      </c>
      <c r="BS104" s="209" t="inlineStr">
        <is>
          <t>Completed</t>
        </is>
      </c>
      <c r="BT104" s="210" t="n">
        <v>43048.0</v>
      </c>
      <c r="BU104" s="211" t="n">
        <v>10.21</v>
      </c>
      <c r="BV104" s="212" t="inlineStr">
        <is>
          <t>Actual</t>
        </is>
      </c>
      <c r="BW104" s="213" t="inlineStr">
        <is>
          <t/>
        </is>
      </c>
      <c r="BX104" s="214" t="inlineStr">
        <is>
          <t/>
        </is>
      </c>
      <c r="BY104" s="215" t="inlineStr">
        <is>
          <t>Later Stage VC</t>
        </is>
      </c>
      <c r="BZ104" s="216" t="inlineStr">
        <is>
          <t/>
        </is>
      </c>
      <c r="CA104" s="217" t="inlineStr">
        <is>
          <t/>
        </is>
      </c>
      <c r="CB104" s="218" t="inlineStr">
        <is>
          <t>Venture Capital</t>
        </is>
      </c>
      <c r="CC104" s="219" t="inlineStr">
        <is>
          <t/>
        </is>
      </c>
      <c r="CD104" s="220" t="inlineStr">
        <is>
          <t/>
        </is>
      </c>
      <c r="CE104" s="221" t="inlineStr">
        <is>
          <t/>
        </is>
      </c>
      <c r="CF104" s="222" t="inlineStr">
        <is>
          <t>Completed</t>
        </is>
      </c>
      <c r="CG104" s="223" t="inlineStr">
        <is>
          <t>1,19%</t>
        </is>
      </c>
      <c r="CH104" s="224" t="inlineStr">
        <is>
          <t>96</t>
        </is>
      </c>
      <c r="CI104" s="225" t="inlineStr">
        <is>
          <t>0,10%</t>
        </is>
      </c>
      <c r="CJ104" s="226" t="inlineStr">
        <is>
          <t>9,18%</t>
        </is>
      </c>
      <c r="CK104" s="227" t="inlineStr">
        <is>
          <t>1,83%</t>
        </is>
      </c>
      <c r="CL104" s="228" t="inlineStr">
        <is>
          <t>96</t>
        </is>
      </c>
      <c r="CM104" s="229" t="inlineStr">
        <is>
          <t>0,56%</t>
        </is>
      </c>
      <c r="CN104" s="230" t="inlineStr">
        <is>
          <t>90</t>
        </is>
      </c>
      <c r="CO104" s="231" t="inlineStr">
        <is>
          <t>0,00%</t>
        </is>
      </c>
      <c r="CP104" s="232" t="inlineStr">
        <is>
          <t>37</t>
        </is>
      </c>
      <c r="CQ104" s="233" t="inlineStr">
        <is>
          <t>3,66%</t>
        </is>
      </c>
      <c r="CR104" s="234" t="inlineStr">
        <is>
          <t>97</t>
        </is>
      </c>
      <c r="CS104" s="235" t="inlineStr">
        <is>
          <t/>
        </is>
      </c>
      <c r="CT104" s="236" t="inlineStr">
        <is>
          <t/>
        </is>
      </c>
      <c r="CU104" s="237" t="inlineStr">
        <is>
          <t>0,56%</t>
        </is>
      </c>
      <c r="CV104" s="238" t="inlineStr">
        <is>
          <t>92</t>
        </is>
      </c>
      <c r="CW104" s="239" t="inlineStr">
        <is>
          <t>3,57x</t>
        </is>
      </c>
      <c r="CX104" s="240" t="inlineStr">
        <is>
          <t>75</t>
        </is>
      </c>
      <c r="CY104" s="241" t="inlineStr">
        <is>
          <t>0,03x</t>
        </is>
      </c>
      <c r="CZ104" s="242" t="inlineStr">
        <is>
          <t>0,87%</t>
        </is>
      </c>
      <c r="DA104" s="243" t="inlineStr">
        <is>
          <t>4,37x</t>
        </is>
      </c>
      <c r="DB104" s="244" t="inlineStr">
        <is>
          <t>79</t>
        </is>
      </c>
      <c r="DC104" s="245" t="inlineStr">
        <is>
          <t>2,78x</t>
        </is>
      </c>
      <c r="DD104" s="246" t="inlineStr">
        <is>
          <t>67</t>
        </is>
      </c>
      <c r="DE104" s="247" t="inlineStr">
        <is>
          <t>2,43x</t>
        </is>
      </c>
      <c r="DF104" s="248" t="inlineStr">
        <is>
          <t>70</t>
        </is>
      </c>
      <c r="DG104" s="249" t="inlineStr">
        <is>
          <t>6,31x</t>
        </is>
      </c>
      <c r="DH104" s="250" t="inlineStr">
        <is>
          <t>82</t>
        </is>
      </c>
      <c r="DI104" s="251" t="inlineStr">
        <is>
          <t/>
        </is>
      </c>
      <c r="DJ104" s="252" t="inlineStr">
        <is>
          <t/>
        </is>
      </c>
      <c r="DK104" s="253" t="inlineStr">
        <is>
          <t>2,78x</t>
        </is>
      </c>
      <c r="DL104" s="254" t="inlineStr">
        <is>
          <t>70</t>
        </is>
      </c>
      <c r="DM104" s="255" t="inlineStr">
        <is>
          <t>898</t>
        </is>
      </c>
      <c r="DN104" s="256" t="inlineStr">
        <is>
          <t>9</t>
        </is>
      </c>
      <c r="DO104" s="257" t="inlineStr">
        <is>
          <t>1,01%</t>
        </is>
      </c>
      <c r="DP104" s="258" t="inlineStr">
        <is>
          <t>194</t>
        </is>
      </c>
      <c r="DQ104" s="259" t="inlineStr">
        <is>
          <t>1</t>
        </is>
      </c>
      <c r="DR104" s="260" t="inlineStr">
        <is>
          <t>0,52%</t>
        </is>
      </c>
      <c r="DS104" s="261" t="inlineStr">
        <is>
          <t>224</t>
        </is>
      </c>
      <c r="DT104" s="262" t="inlineStr">
        <is>
          <t>7</t>
        </is>
      </c>
      <c r="DU104" s="263" t="inlineStr">
        <is>
          <t>3,23%</t>
        </is>
      </c>
      <c r="DV104" s="264" t="inlineStr">
        <is>
          <t>1.038</t>
        </is>
      </c>
      <c r="DW104" s="265" t="inlineStr">
        <is>
          <t>0</t>
        </is>
      </c>
      <c r="DX104" s="266" t="inlineStr">
        <is>
          <t>0,00%</t>
        </is>
      </c>
      <c r="DY104" s="267" t="inlineStr">
        <is>
          <t>PitchBook Research</t>
        </is>
      </c>
      <c r="DZ104" s="786">
        <f>HYPERLINK("https://my.pitchbook.com?c=60605-65", "View company online")</f>
      </c>
    </row>
    <row r="105">
      <c r="A105" s="9" t="inlineStr">
        <is>
          <t>63042-04</t>
        </is>
      </c>
      <c r="B105" s="10" t="inlineStr">
        <is>
          <t>BeMyEye</t>
        </is>
      </c>
      <c r="C105" s="11" t="inlineStr">
        <is>
          <t/>
        </is>
      </c>
      <c r="D105" s="12" t="inlineStr">
        <is>
          <t/>
        </is>
      </c>
      <c r="E105" s="13" t="inlineStr">
        <is>
          <t>63042-04</t>
        </is>
      </c>
      <c r="F105" s="14" t="inlineStr">
        <is>
          <t>Provider of a mobile crowdsourcing data insights platform intended to offer market research services for crowdsourcing store checks and mystery shopping. The company's mobile crowdsourcing data insights platform builds a large crowd of real world data gatherers and connects them with businesses looking for location-specific information, such as checking in-store promotion and prices, generating sales leads and gathering street level data for mapping enrichment, enabling major brands and retailers to measure key performance indicators inside stores via a network of on-demand workers using a mobile application.</t>
        </is>
      </c>
      <c r="G105" s="15" t="inlineStr">
        <is>
          <t>Business Products and Services (B2B)</t>
        </is>
      </c>
      <c r="H105" s="16" t="inlineStr">
        <is>
          <t>Commercial Services</t>
        </is>
      </c>
      <c r="I105" s="17" t="inlineStr">
        <is>
          <t>Media and Information Services (B2B)</t>
        </is>
      </c>
      <c r="J105" s="18" t="inlineStr">
        <is>
          <t>Media and Information Services (B2B)*; Other Commercial Services; Business/Productivity Software</t>
        </is>
      </c>
      <c r="K105" s="19" t="inlineStr">
        <is>
          <t>Mobile, SaaS</t>
        </is>
      </c>
      <c r="L105" s="20" t="inlineStr">
        <is>
          <t>Venture Capital-Backed</t>
        </is>
      </c>
      <c r="M105" s="21" t="n">
        <v>17.5</v>
      </c>
      <c r="N105" s="22" t="inlineStr">
        <is>
          <t>Generating Revenue</t>
        </is>
      </c>
      <c r="O105" s="23" t="inlineStr">
        <is>
          <t>Privately Held (backing)</t>
        </is>
      </c>
      <c r="P105" s="24" t="inlineStr">
        <is>
          <t>Venture Capital</t>
        </is>
      </c>
      <c r="Q105" s="25" t="inlineStr">
        <is>
          <t>www.bemyeye.com</t>
        </is>
      </c>
      <c r="R105" s="26" t="n">
        <v>58.0</v>
      </c>
      <c r="S105" s="27" t="inlineStr">
        <is>
          <t/>
        </is>
      </c>
      <c r="T105" s="28" t="inlineStr">
        <is>
          <t/>
        </is>
      </c>
      <c r="U105" s="29" t="n">
        <v>2011.0</v>
      </c>
      <c r="V105" s="30" t="inlineStr">
        <is>
          <t/>
        </is>
      </c>
      <c r="W105" s="31" t="inlineStr">
        <is>
          <t/>
        </is>
      </c>
      <c r="X105" s="32" t="inlineStr">
        <is>
          <r>
            <rPr>
              <b/>
              <color rgb="ff26854d"/>
              <rFont val="Arial"/>
              <sz val="8.0"/>
            </rPr>
            <t>News</t>
          </r>
          <r>
            <rPr>
              <color rgb="ff707070"/>
              <rFont val="Arial"/>
              <sz val="7.0"/>
            </rPr>
            <t xml:space="preserve"> NEW  </t>
          </r>
        </is>
      </c>
      <c r="Y105" s="33" t="n">
        <v>0.0735</v>
      </c>
      <c r="Z105" s="34" t="inlineStr">
        <is>
          <t/>
        </is>
      </c>
      <c r="AA105" s="35" t="inlineStr">
        <is>
          <t/>
        </is>
      </c>
      <c r="AB105" s="36" t="inlineStr">
        <is>
          <t/>
        </is>
      </c>
      <c r="AC105" s="37" t="inlineStr">
        <is>
          <t/>
        </is>
      </c>
      <c r="AD105" s="38" t="inlineStr">
        <is>
          <t>FY 2015</t>
        </is>
      </c>
      <c r="AE105" s="39" t="inlineStr">
        <is>
          <t>75002-05P</t>
        </is>
      </c>
      <c r="AF105" s="40" t="inlineStr">
        <is>
          <t>Luca Pagano</t>
        </is>
      </c>
      <c r="AG105" s="41" t="inlineStr">
        <is>
          <t>Chief Executive Officer</t>
        </is>
      </c>
      <c r="AH105" s="42" t="inlineStr">
        <is>
          <t>luca.pagano@bemyeye.com</t>
        </is>
      </c>
      <c r="AI105" s="43" t="inlineStr">
        <is>
          <t>+39 02 3676 4270</t>
        </is>
      </c>
      <c r="AJ105" s="44" t="inlineStr">
        <is>
          <t>London, United Kingdom</t>
        </is>
      </c>
      <c r="AK105" s="45" t="inlineStr">
        <is>
          <t>C/o WeWork</t>
        </is>
      </c>
      <c r="AL105" s="46" t="inlineStr">
        <is>
          <t>41 Corsham Street</t>
        </is>
      </c>
      <c r="AM105" s="47" t="inlineStr">
        <is>
          <t>London</t>
        </is>
      </c>
      <c r="AN105" s="48" t="inlineStr">
        <is>
          <t>England</t>
        </is>
      </c>
      <c r="AO105" s="49" t="inlineStr">
        <is>
          <t>N1 6DR</t>
        </is>
      </c>
      <c r="AP105" s="50" t="inlineStr">
        <is>
          <t>United Kingdom</t>
        </is>
      </c>
      <c r="AQ105" s="51" t="inlineStr">
        <is>
          <t>+44 (0)20 3808 5245</t>
        </is>
      </c>
      <c r="AR105" s="52" t="inlineStr">
        <is>
          <t/>
        </is>
      </c>
      <c r="AS105" s="53" t="inlineStr">
        <is>
          <t/>
        </is>
      </c>
      <c r="AT105" s="54" t="inlineStr">
        <is>
          <t>Europe</t>
        </is>
      </c>
      <c r="AU105" s="55" t="inlineStr">
        <is>
          <t>Western Europe</t>
        </is>
      </c>
      <c r="AV105" s="56" t="inlineStr">
        <is>
          <t>The company raised EUR 9 million of Series C venture funding from lead investor Fondo Italiano di Investimento on November 21, 2017. Nauta Capital, P101 Ventures, 360 Capital Partners and other undisclosed investors also participated. The company plans to use the funds to further accelerate its European expansion and scale the business globally.</t>
        </is>
      </c>
      <c r="AW105" s="57" t="inlineStr">
        <is>
          <t>360 Capital Partners, B-ventures, Fondo Italiano di Investimento, Nauta Capital, P101, RedSeed Ventures</t>
        </is>
      </c>
      <c r="AX105" s="58" t="n">
        <v>6.0</v>
      </c>
      <c r="AY105" s="59" t="inlineStr">
        <is>
          <t/>
        </is>
      </c>
      <c r="AZ105" s="60" t="inlineStr">
        <is>
          <t/>
        </is>
      </c>
      <c r="BA105" s="61" t="inlineStr">
        <is>
          <t/>
        </is>
      </c>
      <c r="BB105" s="62" t="inlineStr">
        <is>
          <t>360 Capital Partners (www.360capitalpartners.com), B-ventures (www.b-ventures.net), Fondo Italiano di Investimento (www.fondoitaliano.it), Nauta Capital (www.nautacapital.com), P101 (www.p101.it), RedSeed Ventures (www.redseed.it)</t>
        </is>
      </c>
      <c r="BC105" s="63" t="inlineStr">
        <is>
          <t/>
        </is>
      </c>
      <c r="BD105" s="64" t="inlineStr">
        <is>
          <t/>
        </is>
      </c>
      <c r="BE105" s="65" t="inlineStr">
        <is>
          <t/>
        </is>
      </c>
      <c r="BF105" s="66" t="inlineStr">
        <is>
          <t/>
        </is>
      </c>
      <c r="BG105" s="67" t="n">
        <v>41768.0</v>
      </c>
      <c r="BH105" s="68" t="n">
        <v>2.0</v>
      </c>
      <c r="BI105" s="69" t="inlineStr">
        <is>
          <t>Actual</t>
        </is>
      </c>
      <c r="BJ105" s="70" t="inlineStr">
        <is>
          <t/>
        </is>
      </c>
      <c r="BK105" s="71" t="inlineStr">
        <is>
          <t/>
        </is>
      </c>
      <c r="BL105" s="72" t="inlineStr">
        <is>
          <t>Early Stage VC</t>
        </is>
      </c>
      <c r="BM105" s="73" t="inlineStr">
        <is>
          <t/>
        </is>
      </c>
      <c r="BN105" s="74" t="inlineStr">
        <is>
          <t/>
        </is>
      </c>
      <c r="BO105" s="75" t="inlineStr">
        <is>
          <t>Venture Capital</t>
        </is>
      </c>
      <c r="BP105" s="76" t="inlineStr">
        <is>
          <t/>
        </is>
      </c>
      <c r="BQ105" s="77" t="inlineStr">
        <is>
          <t/>
        </is>
      </c>
      <c r="BR105" s="78" t="inlineStr">
        <is>
          <t/>
        </is>
      </c>
      <c r="BS105" s="79" t="inlineStr">
        <is>
          <t>Completed</t>
        </is>
      </c>
      <c r="BT105" s="80" t="n">
        <v>43060.0</v>
      </c>
      <c r="BU105" s="81" t="n">
        <v>9.0</v>
      </c>
      <c r="BV105" s="82" t="inlineStr">
        <is>
          <t>Actual</t>
        </is>
      </c>
      <c r="BW105" s="83" t="inlineStr">
        <is>
          <t/>
        </is>
      </c>
      <c r="BX105" s="84" t="inlineStr">
        <is>
          <t/>
        </is>
      </c>
      <c r="BY105" s="85" t="inlineStr">
        <is>
          <t>Later Stage VC</t>
        </is>
      </c>
      <c r="BZ105" s="86" t="inlineStr">
        <is>
          <t>Series C</t>
        </is>
      </c>
      <c r="CA105" s="87" t="inlineStr">
        <is>
          <t/>
        </is>
      </c>
      <c r="CB105" s="88" t="inlineStr">
        <is>
          <t>Venture Capital</t>
        </is>
      </c>
      <c r="CC105" s="89" t="inlineStr">
        <is>
          <t/>
        </is>
      </c>
      <c r="CD105" s="90" t="inlineStr">
        <is>
          <t/>
        </is>
      </c>
      <c r="CE105" s="91" t="inlineStr">
        <is>
          <t/>
        </is>
      </c>
      <c r="CF105" s="92" t="inlineStr">
        <is>
          <t>Completed</t>
        </is>
      </c>
      <c r="CG105" s="93" t="inlineStr">
        <is>
          <t>0,37%</t>
        </is>
      </c>
      <c r="CH105" s="94" t="inlineStr">
        <is>
          <t>90</t>
        </is>
      </c>
      <c r="CI105" s="95" t="inlineStr">
        <is>
          <t>0,05%</t>
        </is>
      </c>
      <c r="CJ105" s="96" t="inlineStr">
        <is>
          <t>17,70%</t>
        </is>
      </c>
      <c r="CK105" s="97" t="inlineStr">
        <is>
          <t/>
        </is>
      </c>
      <c r="CL105" s="98" t="inlineStr">
        <is>
          <t/>
        </is>
      </c>
      <c r="CM105" s="99" t="inlineStr">
        <is>
          <t>0,37%</t>
        </is>
      </c>
      <c r="CN105" s="100" t="inlineStr">
        <is>
          <t>84</t>
        </is>
      </c>
      <c r="CO105" s="101" t="inlineStr">
        <is>
          <t/>
        </is>
      </c>
      <c r="CP105" s="102" t="inlineStr">
        <is>
          <t/>
        </is>
      </c>
      <c r="CQ105" s="103" t="inlineStr">
        <is>
          <t/>
        </is>
      </c>
      <c r="CR105" s="104" t="inlineStr">
        <is>
          <t/>
        </is>
      </c>
      <c r="CS105" s="105" t="inlineStr">
        <is>
          <t>0,48%</t>
        </is>
      </c>
      <c r="CT105" s="106" t="inlineStr">
        <is>
          <t>86</t>
        </is>
      </c>
      <c r="CU105" s="107" t="inlineStr">
        <is>
          <t>0,25%</t>
        </is>
      </c>
      <c r="CV105" s="108" t="inlineStr">
        <is>
          <t>80</t>
        </is>
      </c>
      <c r="CW105" s="109" t="inlineStr">
        <is>
          <t>47,04x</t>
        </is>
      </c>
      <c r="CX105" s="110" t="inlineStr">
        <is>
          <t>96</t>
        </is>
      </c>
      <c r="CY105" s="111" t="inlineStr">
        <is>
          <t>-0,02x</t>
        </is>
      </c>
      <c r="CZ105" s="112" t="inlineStr">
        <is>
          <t>-0,04%</t>
        </is>
      </c>
      <c r="DA105" s="113" t="inlineStr">
        <is>
          <t/>
        </is>
      </c>
      <c r="DB105" s="114" t="inlineStr">
        <is>
          <t/>
        </is>
      </c>
      <c r="DC105" s="115" t="inlineStr">
        <is>
          <t>47,04x</t>
        </is>
      </c>
      <c r="DD105" s="116" t="inlineStr">
        <is>
          <t>94</t>
        </is>
      </c>
      <c r="DE105" s="117" t="inlineStr">
        <is>
          <t/>
        </is>
      </c>
      <c r="DF105" s="118" t="inlineStr">
        <is>
          <t/>
        </is>
      </c>
      <c r="DG105" s="119" t="inlineStr">
        <is>
          <t/>
        </is>
      </c>
      <c r="DH105" s="120" t="inlineStr">
        <is>
          <t/>
        </is>
      </c>
      <c r="DI105" s="121" t="inlineStr">
        <is>
          <t>91,64x</t>
        </is>
      </c>
      <c r="DJ105" s="122" t="inlineStr">
        <is>
          <t>95</t>
        </is>
      </c>
      <c r="DK105" s="123" t="inlineStr">
        <is>
          <t>2,43x</t>
        </is>
      </c>
      <c r="DL105" s="124" t="inlineStr">
        <is>
          <t>67</t>
        </is>
      </c>
      <c r="DM105" s="125" t="inlineStr">
        <is>
          <t/>
        </is>
      </c>
      <c r="DN105" s="126" t="inlineStr">
        <is>
          <t/>
        </is>
      </c>
      <c r="DO105" s="127" t="inlineStr">
        <is>
          <t/>
        </is>
      </c>
      <c r="DP105" s="128" t="inlineStr">
        <is>
          <t>72.354</t>
        </is>
      </c>
      <c r="DQ105" s="129" t="inlineStr">
        <is>
          <t>476</t>
        </is>
      </c>
      <c r="DR105" s="130" t="inlineStr">
        <is>
          <t>0,66%</t>
        </is>
      </c>
      <c r="DS105" s="131" t="inlineStr">
        <is>
          <t/>
        </is>
      </c>
      <c r="DT105" s="132" t="inlineStr">
        <is>
          <t/>
        </is>
      </c>
      <c r="DU105" s="133" t="inlineStr">
        <is>
          <t/>
        </is>
      </c>
      <c r="DV105" s="134" t="inlineStr">
        <is>
          <t>906</t>
        </is>
      </c>
      <c r="DW105" s="135" t="inlineStr">
        <is>
          <t>10</t>
        </is>
      </c>
      <c r="DX105" s="136" t="inlineStr">
        <is>
          <t>1,12%</t>
        </is>
      </c>
      <c r="DY105" s="137" t="inlineStr">
        <is>
          <t>PitchBook Research</t>
        </is>
      </c>
      <c r="DZ105" s="785">
        <f>HYPERLINK("https://my.pitchbook.com?c=63042-04", "View company online")</f>
      </c>
    </row>
    <row r="106">
      <c r="A106" s="139" t="inlineStr">
        <is>
          <t>58162-87</t>
        </is>
      </c>
      <c r="B106" s="140" t="inlineStr">
        <is>
          <t>CyDen</t>
        </is>
      </c>
      <c r="C106" s="141" t="inlineStr">
        <is>
          <t/>
        </is>
      </c>
      <c r="D106" s="142" t="inlineStr">
        <is>
          <t/>
        </is>
      </c>
      <c r="E106" s="143" t="inlineStr">
        <is>
          <t>58162-87</t>
        </is>
      </c>
      <c r="F106" s="144" t="inlineStr">
        <is>
          <t>Manufacturer of IPL (intense pulsed light) hair removal products intended for home use and professional salons. The company's IPL (intense pulsed light) hair removal products are unique in combining technological innovation with clinical understanding of skin-light interaction, enabling clients to remove hairs easily using the absorbed light energy technology.</t>
        </is>
      </c>
      <c r="G106" s="145" t="inlineStr">
        <is>
          <t>Consumer Products and Services (B2C)</t>
        </is>
      </c>
      <c r="H106" s="146" t="inlineStr">
        <is>
          <t>Consumer Durables</t>
        </is>
      </c>
      <c r="I106" s="147" t="inlineStr">
        <is>
          <t>Electronics (B2C)</t>
        </is>
      </c>
      <c r="J106" s="148" t="inlineStr">
        <is>
          <t>Electronics (B2C)*</t>
        </is>
      </c>
      <c r="K106" s="149" t="inlineStr">
        <is>
          <t>Manufacturing</t>
        </is>
      </c>
      <c r="L106" s="150" t="inlineStr">
        <is>
          <t>Venture Capital-Backed</t>
        </is>
      </c>
      <c r="M106" s="151" t="n">
        <v>17.32</v>
      </c>
      <c r="N106" s="152" t="inlineStr">
        <is>
          <t>Generating Revenue</t>
        </is>
      </c>
      <c r="O106" s="153" t="inlineStr">
        <is>
          <t>Acquired/Merged (Operating Subsidiary)</t>
        </is>
      </c>
      <c r="P106" s="154" t="inlineStr">
        <is>
          <t>Venture Capital</t>
        </is>
      </c>
      <c r="Q106" s="155" t="inlineStr">
        <is>
          <t>www.cyden.com</t>
        </is>
      </c>
      <c r="R106" s="156" t="n">
        <v>11.0</v>
      </c>
      <c r="S106" s="157" t="inlineStr">
        <is>
          <t/>
        </is>
      </c>
      <c r="T106" s="158" t="inlineStr">
        <is>
          <t/>
        </is>
      </c>
      <c r="U106" s="159" t="n">
        <v>2002.0</v>
      </c>
      <c r="V106" s="160" t="inlineStr">
        <is>
          <t>Energist Medical Group</t>
        </is>
      </c>
      <c r="W106" s="161" t="inlineStr">
        <is>
          <t/>
        </is>
      </c>
      <c r="X106" s="162" t="inlineStr">
        <is>
          <t/>
        </is>
      </c>
      <c r="Y106" s="163" t="n">
        <v>217.68118</v>
      </c>
      <c r="Z106" s="164" t="inlineStr">
        <is>
          <t/>
        </is>
      </c>
      <c r="AA106" s="165" t="inlineStr">
        <is>
          <t/>
        </is>
      </c>
      <c r="AB106" s="166" t="inlineStr">
        <is>
          <t/>
        </is>
      </c>
      <c r="AC106" s="167" t="inlineStr">
        <is>
          <t/>
        </is>
      </c>
      <c r="AD106" s="168" t="inlineStr">
        <is>
          <t>FY 2017</t>
        </is>
      </c>
      <c r="AE106" s="169" t="inlineStr">
        <is>
          <t>56931-13P</t>
        </is>
      </c>
      <c r="AF106" s="170" t="inlineStr">
        <is>
          <t>Giles Davies</t>
        </is>
      </c>
      <c r="AG106" s="171" t="inlineStr">
        <is>
          <t>Board Member, Chief Executive Officer and Secretary</t>
        </is>
      </c>
      <c r="AH106" s="172" t="inlineStr">
        <is>
          <t>giles.davies@cyden.co.uk</t>
        </is>
      </c>
      <c r="AI106" s="173" t="inlineStr">
        <is>
          <t>+44 (0)17 9248 5755</t>
        </is>
      </c>
      <c r="AJ106" s="174" t="inlineStr">
        <is>
          <t>Swansea, United Kingdom</t>
        </is>
      </c>
      <c r="AK106" s="175" t="inlineStr">
        <is>
          <t>Technium II</t>
        </is>
      </c>
      <c r="AL106" s="176" t="inlineStr">
        <is>
          <t>Kings Road</t>
        </is>
      </c>
      <c r="AM106" s="177" t="inlineStr">
        <is>
          <t>Swansea</t>
        </is>
      </c>
      <c r="AN106" s="178" t="inlineStr">
        <is>
          <t>Wales</t>
        </is>
      </c>
      <c r="AO106" s="179" t="inlineStr">
        <is>
          <t>SA1 8PJ</t>
        </is>
      </c>
      <c r="AP106" s="180" t="inlineStr">
        <is>
          <t>United Kingdom</t>
        </is>
      </c>
      <c r="AQ106" s="181" t="inlineStr">
        <is>
          <t>+44 (0)17 9248 5755</t>
        </is>
      </c>
      <c r="AR106" s="182" t="inlineStr">
        <is>
          <t>+44 (0)17 9248 5524</t>
        </is>
      </c>
      <c r="AS106" s="183" t="inlineStr">
        <is>
          <t>mcolbeck@cyden.com</t>
        </is>
      </c>
      <c r="AT106" s="184" t="inlineStr">
        <is>
          <t>Europe</t>
        </is>
      </c>
      <c r="AU106" s="185" t="inlineStr">
        <is>
          <t>Western Europe</t>
        </is>
      </c>
      <c r="AV106" s="186" t="inlineStr">
        <is>
          <t>The company raised GBP 1.2 million of venture funding through a combination of debt and equity on January 31, 2017. Equity portion was provided by undisclosed investors. Debt was provided by Barclays Bank.</t>
        </is>
      </c>
      <c r="AW106" s="187" t="inlineStr">
        <is>
          <t>Nigel Rudd, Richard Koch</t>
        </is>
      </c>
      <c r="AX106" s="188" t="n">
        <v>2.0</v>
      </c>
      <c r="AY106" s="189" t="inlineStr">
        <is>
          <t>Energist Medical Group</t>
        </is>
      </c>
      <c r="AZ106" s="190" t="inlineStr">
        <is>
          <t>Longbow Capital, Unilever Ventures</t>
        </is>
      </c>
      <c r="BA106" s="191" t="inlineStr">
        <is>
          <t/>
        </is>
      </c>
      <c r="BB106" s="192" t="inlineStr">
        <is>
          <t/>
        </is>
      </c>
      <c r="BC106" s="193" t="inlineStr">
        <is>
          <t>Longbow Capital (www.longbow.co.uk), Unilever Ventures (www.unileverventures.com)</t>
        </is>
      </c>
      <c r="BD106" s="194" t="inlineStr">
        <is>
          <t/>
        </is>
      </c>
      <c r="BE106" s="195" t="inlineStr">
        <is>
          <t/>
        </is>
      </c>
      <c r="BF106" s="196" t="inlineStr">
        <is>
          <t>Barclays Bank (Debt Financing)</t>
        </is>
      </c>
      <c r="BG106" s="197" t="n">
        <v>37987.0</v>
      </c>
      <c r="BH106" s="198" t="n">
        <v>2.02</v>
      </c>
      <c r="BI106" s="199" t="inlineStr">
        <is>
          <t>Actual</t>
        </is>
      </c>
      <c r="BJ106" s="200" t="inlineStr">
        <is>
          <t/>
        </is>
      </c>
      <c r="BK106" s="201" t="inlineStr">
        <is>
          <t/>
        </is>
      </c>
      <c r="BL106" s="202" t="inlineStr">
        <is>
          <t>Early Stage VC</t>
        </is>
      </c>
      <c r="BM106" s="203" t="inlineStr">
        <is>
          <t/>
        </is>
      </c>
      <c r="BN106" s="204" t="inlineStr">
        <is>
          <t/>
        </is>
      </c>
      <c r="BO106" s="205" t="inlineStr">
        <is>
          <t>Venture Capital</t>
        </is>
      </c>
      <c r="BP106" s="206" t="inlineStr">
        <is>
          <t/>
        </is>
      </c>
      <c r="BQ106" s="207" t="inlineStr">
        <is>
          <t/>
        </is>
      </c>
      <c r="BR106" s="208" t="inlineStr">
        <is>
          <t/>
        </is>
      </c>
      <c r="BS106" s="209" t="inlineStr">
        <is>
          <t>Completed</t>
        </is>
      </c>
      <c r="BT106" s="210" t="n">
        <v>42766.0</v>
      </c>
      <c r="BU106" s="211" t="n">
        <v>1.39</v>
      </c>
      <c r="BV106" s="212" t="inlineStr">
        <is>
          <t>Actual</t>
        </is>
      </c>
      <c r="BW106" s="213" t="inlineStr">
        <is>
          <t/>
        </is>
      </c>
      <c r="BX106" s="214" t="inlineStr">
        <is>
          <t/>
        </is>
      </c>
      <c r="BY106" s="215" t="inlineStr">
        <is>
          <t>Later Stage VC</t>
        </is>
      </c>
      <c r="BZ106" s="216" t="inlineStr">
        <is>
          <t/>
        </is>
      </c>
      <c r="CA106" s="217" t="inlineStr">
        <is>
          <t/>
        </is>
      </c>
      <c r="CB106" s="218" t="inlineStr">
        <is>
          <t>Venture Capital</t>
        </is>
      </c>
      <c r="CC106" s="219" t="inlineStr">
        <is>
          <t>Other Debt</t>
        </is>
      </c>
      <c r="CD106" s="220" t="inlineStr">
        <is>
          <t/>
        </is>
      </c>
      <c r="CE106" s="221" t="inlineStr">
        <is>
          <t/>
        </is>
      </c>
      <c r="CF106" s="222" t="inlineStr">
        <is>
          <t>Completed</t>
        </is>
      </c>
      <c r="CG106" s="223" t="inlineStr">
        <is>
          <t>0,00%</t>
        </is>
      </c>
      <c r="CH106" s="224" t="inlineStr">
        <is>
          <t>33</t>
        </is>
      </c>
      <c r="CI106" s="225" t="inlineStr">
        <is>
          <t>0,00%</t>
        </is>
      </c>
      <c r="CJ106" s="226" t="inlineStr">
        <is>
          <t>0,00%</t>
        </is>
      </c>
      <c r="CK106" s="227" t="inlineStr">
        <is>
          <t>0,00%</t>
        </is>
      </c>
      <c r="CL106" s="228" t="inlineStr">
        <is>
          <t>28</t>
        </is>
      </c>
      <c r="CM106" s="229" t="inlineStr">
        <is>
          <t/>
        </is>
      </c>
      <c r="CN106" s="230" t="inlineStr">
        <is>
          <t/>
        </is>
      </c>
      <c r="CO106" s="231" t="inlineStr">
        <is>
          <t/>
        </is>
      </c>
      <c r="CP106" s="232" t="inlineStr">
        <is>
          <t/>
        </is>
      </c>
      <c r="CQ106" s="233" t="inlineStr">
        <is>
          <t>0,00%</t>
        </is>
      </c>
      <c r="CR106" s="234" t="inlineStr">
        <is>
          <t>20</t>
        </is>
      </c>
      <c r="CS106" s="235" t="inlineStr">
        <is>
          <t/>
        </is>
      </c>
      <c r="CT106" s="236" t="inlineStr">
        <is>
          <t/>
        </is>
      </c>
      <c r="CU106" s="237" t="inlineStr">
        <is>
          <t/>
        </is>
      </c>
      <c r="CV106" s="238" t="inlineStr">
        <is>
          <t/>
        </is>
      </c>
      <c r="CW106" s="239" t="inlineStr">
        <is>
          <t>0,72x</t>
        </is>
      </c>
      <c r="CX106" s="240" t="inlineStr">
        <is>
          <t>41</t>
        </is>
      </c>
      <c r="CY106" s="241" t="inlineStr">
        <is>
          <t>0,00x</t>
        </is>
      </c>
      <c r="CZ106" s="242" t="inlineStr">
        <is>
          <t>0,00%</t>
        </is>
      </c>
      <c r="DA106" s="243" t="inlineStr">
        <is>
          <t>0,72x</t>
        </is>
      </c>
      <c r="DB106" s="244" t="inlineStr">
        <is>
          <t>43</t>
        </is>
      </c>
      <c r="DC106" s="245" t="inlineStr">
        <is>
          <t/>
        </is>
      </c>
      <c r="DD106" s="246" t="inlineStr">
        <is>
          <t/>
        </is>
      </c>
      <c r="DE106" s="247" t="inlineStr">
        <is>
          <t/>
        </is>
      </c>
      <c r="DF106" s="248" t="inlineStr">
        <is>
          <t/>
        </is>
      </c>
      <c r="DG106" s="249" t="inlineStr">
        <is>
          <t>0,72x</t>
        </is>
      </c>
      <c r="DH106" s="250" t="inlineStr">
        <is>
          <t>43</t>
        </is>
      </c>
      <c r="DI106" s="251" t="inlineStr">
        <is>
          <t/>
        </is>
      </c>
      <c r="DJ106" s="252" t="inlineStr">
        <is>
          <t/>
        </is>
      </c>
      <c r="DK106" s="253" t="inlineStr">
        <is>
          <t/>
        </is>
      </c>
      <c r="DL106" s="254" t="inlineStr">
        <is>
          <t/>
        </is>
      </c>
      <c r="DM106" s="255" t="inlineStr">
        <is>
          <t/>
        </is>
      </c>
      <c r="DN106" s="256" t="inlineStr">
        <is>
          <t/>
        </is>
      </c>
      <c r="DO106" s="257" t="inlineStr">
        <is>
          <t/>
        </is>
      </c>
      <c r="DP106" s="258" t="inlineStr">
        <is>
          <t/>
        </is>
      </c>
      <c r="DQ106" s="259" t="inlineStr">
        <is>
          <t/>
        </is>
      </c>
      <c r="DR106" s="260" t="inlineStr">
        <is>
          <t/>
        </is>
      </c>
      <c r="DS106" s="261" t="inlineStr">
        <is>
          <t>26</t>
        </is>
      </c>
      <c r="DT106" s="262" t="inlineStr">
        <is>
          <t>0</t>
        </is>
      </c>
      <c r="DU106" s="263" t="inlineStr">
        <is>
          <t>0,00%</t>
        </is>
      </c>
      <c r="DV106" s="264" t="inlineStr">
        <is>
          <t/>
        </is>
      </c>
      <c r="DW106" s="265" t="inlineStr">
        <is>
          <t/>
        </is>
      </c>
      <c r="DX106" s="266" t="inlineStr">
        <is>
          <t/>
        </is>
      </c>
      <c r="DY106" s="267" t="inlineStr">
        <is>
          <t>PitchBook Research</t>
        </is>
      </c>
      <c r="DZ106" s="786">
        <f>HYPERLINK("https://my.pitchbook.com?c=58162-87", "View company online")</f>
      </c>
    </row>
    <row r="107">
      <c r="A107" s="9" t="inlineStr">
        <is>
          <t>56367-37</t>
        </is>
      </c>
      <c r="B107" s="10" t="inlineStr">
        <is>
          <t>Videdressing</t>
        </is>
      </c>
      <c r="C107" s="11" t="inlineStr">
        <is>
          <t/>
        </is>
      </c>
      <c r="D107" s="12" t="inlineStr">
        <is>
          <t/>
        </is>
      </c>
      <c r="E107" s="13" t="inlineStr">
        <is>
          <t>56367-37</t>
        </is>
      </c>
      <c r="F107" s="14" t="inlineStr">
        <is>
          <t>Provider of an online shopping marketplace designed to simplify the process of buying and selling previously owned clothing and fashion accessories. The company's online shopping marketplace provides extensive fashion expertise and qualitative editorial content, unlimited free listings, strict anti-counterfeit policy, client protection and guaranteed free returns, providing customers a shopping experience with unparalleled range, curation and value for money.</t>
        </is>
      </c>
      <c r="G107" s="15" t="inlineStr">
        <is>
          <t>Information Technology</t>
        </is>
      </c>
      <c r="H107" s="16" t="inlineStr">
        <is>
          <t>IT Services</t>
        </is>
      </c>
      <c r="I107" s="17" t="inlineStr">
        <is>
          <t>Other IT Services</t>
        </is>
      </c>
      <c r="J107" s="18" t="inlineStr">
        <is>
          <t>Other IT Services*; Accessories; Clothing; Internet Retail</t>
        </is>
      </c>
      <c r="K107" s="19" t="inlineStr">
        <is>
          <t>E-Commerce</t>
        </is>
      </c>
      <c r="L107" s="20" t="inlineStr">
        <is>
          <t>Venture Capital-Backed</t>
        </is>
      </c>
      <c r="M107" s="21" t="n">
        <v>17.26</v>
      </c>
      <c r="N107" s="22" t="inlineStr">
        <is>
          <t>Generating Revenue</t>
        </is>
      </c>
      <c r="O107" s="23" t="inlineStr">
        <is>
          <t>Privately Held (backing)</t>
        </is>
      </c>
      <c r="P107" s="24" t="inlineStr">
        <is>
          <t>Venture Capital</t>
        </is>
      </c>
      <c r="Q107" s="25" t="inlineStr">
        <is>
          <t>www.videdressing.com</t>
        </is>
      </c>
      <c r="R107" s="26" t="n">
        <v>77.0</v>
      </c>
      <c r="S107" s="27" t="inlineStr">
        <is>
          <t/>
        </is>
      </c>
      <c r="T107" s="28" t="inlineStr">
        <is>
          <t/>
        </is>
      </c>
      <c r="U107" s="29" t="n">
        <v>2009.0</v>
      </c>
      <c r="V107" s="30" t="inlineStr">
        <is>
          <t/>
        </is>
      </c>
      <c r="W107" s="31" t="inlineStr">
        <is>
          <t/>
        </is>
      </c>
      <c r="X107" s="32" t="inlineStr">
        <is>
          <t/>
        </is>
      </c>
      <c r="Y107" s="33" t="n">
        <v>3.55549</v>
      </c>
      <c r="Z107" s="34" t="n">
        <v>0.00919</v>
      </c>
      <c r="AA107" s="35" t="inlineStr">
        <is>
          <t/>
        </is>
      </c>
      <c r="AB107" s="36" t="inlineStr">
        <is>
          <t/>
        </is>
      </c>
      <c r="AC107" s="37" t="n">
        <v>-4.31803</v>
      </c>
      <c r="AD107" s="38" t="inlineStr">
        <is>
          <t>FY 2015</t>
        </is>
      </c>
      <c r="AE107" s="39" t="inlineStr">
        <is>
          <t>48713-32P</t>
        </is>
      </c>
      <c r="AF107" s="40" t="inlineStr">
        <is>
          <t>Meryl Job</t>
        </is>
      </c>
      <c r="AG107" s="41" t="inlineStr">
        <is>
          <t>Co-Founder</t>
        </is>
      </c>
      <c r="AH107" s="42" t="inlineStr">
        <is>
          <t>meryl@videdressing.com</t>
        </is>
      </c>
      <c r="AI107" s="43" t="inlineStr">
        <is>
          <t>+33 (0)8 92 68 84 88</t>
        </is>
      </c>
      <c r="AJ107" s="44" t="inlineStr">
        <is>
          <t>Paris, France</t>
        </is>
      </c>
      <c r="AK107" s="45" t="inlineStr">
        <is>
          <t>11 avenue Parmentier</t>
        </is>
      </c>
      <c r="AL107" s="46" t="inlineStr">
        <is>
          <t/>
        </is>
      </c>
      <c r="AM107" s="47" t="inlineStr">
        <is>
          <t>Paris</t>
        </is>
      </c>
      <c r="AN107" s="48" t="inlineStr">
        <is>
          <t/>
        </is>
      </c>
      <c r="AO107" s="49" t="inlineStr">
        <is>
          <t>75011</t>
        </is>
      </c>
      <c r="AP107" s="50" t="inlineStr">
        <is>
          <t>France</t>
        </is>
      </c>
      <c r="AQ107" s="51" t="inlineStr">
        <is>
          <t>+33 (0)8 92 68 84 88</t>
        </is>
      </c>
      <c r="AR107" s="52" t="inlineStr">
        <is>
          <t/>
        </is>
      </c>
      <c r="AS107" s="53" t="inlineStr">
        <is>
          <t>info@videdressing.com</t>
        </is>
      </c>
      <c r="AT107" s="54" t="inlineStr">
        <is>
          <t>Europe</t>
        </is>
      </c>
      <c r="AU107" s="55" t="inlineStr">
        <is>
          <t>Western Europe</t>
        </is>
      </c>
      <c r="AV107" s="56" t="inlineStr">
        <is>
          <t>The company raised EUR 5.4 million of venture funding from DN Capital, Piton Capital and Earlybird Venture Capital on June 22, 2017. Generis Capital Partners also participated in the round.</t>
        </is>
      </c>
      <c r="AW107" s="57" t="inlineStr">
        <is>
          <t>DN Capital, Earlybird Venture Capital, Generis Capital Partners, Global Founders Capital, Individual Investor, Piton Capital</t>
        </is>
      </c>
      <c r="AX107" s="58" t="n">
        <v>6.0</v>
      </c>
      <c r="AY107" s="59" t="inlineStr">
        <is>
          <t/>
        </is>
      </c>
      <c r="AZ107" s="60" t="inlineStr">
        <is>
          <t/>
        </is>
      </c>
      <c r="BA107" s="61" t="inlineStr">
        <is>
          <t/>
        </is>
      </c>
      <c r="BB107" s="62" t="inlineStr">
        <is>
          <t>DN Capital (www.dncapital.com), Earlybird Venture Capital (www.earlybird.com), Generis Capital Partners (www.generiscapital.com), Global Founders Capital (www.globalfounders.vc), Piton Capital (www.pitoncap.com)</t>
        </is>
      </c>
      <c r="BC107" s="63" t="inlineStr">
        <is>
          <t/>
        </is>
      </c>
      <c r="BD107" s="64" t="inlineStr">
        <is>
          <t/>
        </is>
      </c>
      <c r="BE107" s="65" t="inlineStr">
        <is>
          <t/>
        </is>
      </c>
      <c r="BF107" s="66" t="inlineStr">
        <is>
          <t>LD&amp;A Jupiter (Advisor: General)</t>
        </is>
      </c>
      <c r="BG107" s="67" t="n">
        <v>40787.0</v>
      </c>
      <c r="BH107" s="68" t="n">
        <v>3.62</v>
      </c>
      <c r="BI107" s="69" t="inlineStr">
        <is>
          <t>Estimated</t>
        </is>
      </c>
      <c r="BJ107" s="70" t="inlineStr">
        <is>
          <t/>
        </is>
      </c>
      <c r="BK107" s="71" t="inlineStr">
        <is>
          <t/>
        </is>
      </c>
      <c r="BL107" s="72" t="inlineStr">
        <is>
          <t>Seed Round</t>
        </is>
      </c>
      <c r="BM107" s="73" t="inlineStr">
        <is>
          <t>Seed</t>
        </is>
      </c>
      <c r="BN107" s="74" t="inlineStr">
        <is>
          <t/>
        </is>
      </c>
      <c r="BO107" s="75" t="inlineStr">
        <is>
          <t>Venture Capital</t>
        </is>
      </c>
      <c r="BP107" s="76" t="inlineStr">
        <is>
          <t/>
        </is>
      </c>
      <c r="BQ107" s="77" t="inlineStr">
        <is>
          <t/>
        </is>
      </c>
      <c r="BR107" s="78" t="inlineStr">
        <is>
          <t/>
        </is>
      </c>
      <c r="BS107" s="79" t="inlineStr">
        <is>
          <t>Completed</t>
        </is>
      </c>
      <c r="BT107" s="80" t="n">
        <v>42908.0</v>
      </c>
      <c r="BU107" s="81" t="n">
        <v>5.4</v>
      </c>
      <c r="BV107" s="82" t="inlineStr">
        <is>
          <t>Actual</t>
        </is>
      </c>
      <c r="BW107" s="83" t="inlineStr">
        <is>
          <t/>
        </is>
      </c>
      <c r="BX107" s="84" t="inlineStr">
        <is>
          <t/>
        </is>
      </c>
      <c r="BY107" s="85" t="inlineStr">
        <is>
          <t>Later Stage VC</t>
        </is>
      </c>
      <c r="BZ107" s="86" t="inlineStr">
        <is>
          <t/>
        </is>
      </c>
      <c r="CA107" s="87" t="inlineStr">
        <is>
          <t/>
        </is>
      </c>
      <c r="CB107" s="88" t="inlineStr">
        <is>
          <t>Venture Capital</t>
        </is>
      </c>
      <c r="CC107" s="89" t="inlineStr">
        <is>
          <t/>
        </is>
      </c>
      <c r="CD107" s="90" t="inlineStr">
        <is>
          <t/>
        </is>
      </c>
      <c r="CE107" s="91" t="inlineStr">
        <is>
          <t/>
        </is>
      </c>
      <c r="CF107" s="92" t="inlineStr">
        <is>
          <t>Completed</t>
        </is>
      </c>
      <c r="CG107" s="93" t="inlineStr">
        <is>
          <t>-2,26%</t>
        </is>
      </c>
      <c r="CH107" s="94" t="inlineStr">
        <is>
          <t>9</t>
        </is>
      </c>
      <c r="CI107" s="95" t="inlineStr">
        <is>
          <t>5,36%</t>
        </is>
      </c>
      <c r="CJ107" s="96" t="inlineStr">
        <is>
          <t>70,33%</t>
        </is>
      </c>
      <c r="CK107" s="97" t="inlineStr">
        <is>
          <t>-15,49%</t>
        </is>
      </c>
      <c r="CL107" s="98" t="inlineStr">
        <is>
          <t>1</t>
        </is>
      </c>
      <c r="CM107" s="99" t="inlineStr">
        <is>
          <t>0,08%</t>
        </is>
      </c>
      <c r="CN107" s="100" t="inlineStr">
        <is>
          <t>55</t>
        </is>
      </c>
      <c r="CO107" s="101" t="inlineStr">
        <is>
          <t>-29,61%</t>
        </is>
      </c>
      <c r="CP107" s="102" t="inlineStr">
        <is>
          <t>1</t>
        </is>
      </c>
      <c r="CQ107" s="103" t="inlineStr">
        <is>
          <t>-1,36%</t>
        </is>
      </c>
      <c r="CR107" s="104" t="inlineStr">
        <is>
          <t>6</t>
        </is>
      </c>
      <c r="CS107" s="105" t="inlineStr">
        <is>
          <t>0,13%</t>
        </is>
      </c>
      <c r="CT107" s="106" t="inlineStr">
        <is>
          <t>61</t>
        </is>
      </c>
      <c r="CU107" s="107" t="inlineStr">
        <is>
          <t>0,04%</t>
        </is>
      </c>
      <c r="CV107" s="108" t="inlineStr">
        <is>
          <t>58</t>
        </is>
      </c>
      <c r="CW107" s="109" t="inlineStr">
        <is>
          <t>78,76x</t>
        </is>
      </c>
      <c r="CX107" s="110" t="inlineStr">
        <is>
          <t>98</t>
        </is>
      </c>
      <c r="CY107" s="111" t="inlineStr">
        <is>
          <t>-40,11x</t>
        </is>
      </c>
      <c r="CZ107" s="112" t="inlineStr">
        <is>
          <t>-33,74%</t>
        </is>
      </c>
      <c r="DA107" s="113" t="inlineStr">
        <is>
          <t>21,63x</t>
        </is>
      </c>
      <c r="DB107" s="114" t="inlineStr">
        <is>
          <t>94</t>
        </is>
      </c>
      <c r="DC107" s="115" t="inlineStr">
        <is>
          <t>214,20x</t>
        </is>
      </c>
      <c r="DD107" s="116" t="inlineStr">
        <is>
          <t>98</t>
        </is>
      </c>
      <c r="DE107" s="117" t="inlineStr">
        <is>
          <t>1,57x</t>
        </is>
      </c>
      <c r="DF107" s="118" t="inlineStr">
        <is>
          <t>61</t>
        </is>
      </c>
      <c r="DG107" s="119" t="inlineStr">
        <is>
          <t>41,69x</t>
        </is>
      </c>
      <c r="DH107" s="120" t="inlineStr">
        <is>
          <t>97</t>
        </is>
      </c>
      <c r="DI107" s="121" t="inlineStr">
        <is>
          <t>403,96x</t>
        </is>
      </c>
      <c r="DJ107" s="122" t="inlineStr">
        <is>
          <t>98</t>
        </is>
      </c>
      <c r="DK107" s="123" t="inlineStr">
        <is>
          <t>24,43x</t>
        </is>
      </c>
      <c r="DL107" s="124" t="inlineStr">
        <is>
          <t>93</t>
        </is>
      </c>
      <c r="DM107" s="125" t="inlineStr">
        <is>
          <t>577</t>
        </is>
      </c>
      <c r="DN107" s="126" t="inlineStr">
        <is>
          <t>22</t>
        </is>
      </c>
      <c r="DO107" s="127" t="inlineStr">
        <is>
          <t>3,96%</t>
        </is>
      </c>
      <c r="DP107" s="128" t="inlineStr">
        <is>
          <t>319.936</t>
        </is>
      </c>
      <c r="DQ107" s="129" t="inlineStr">
        <is>
          <t>272</t>
        </is>
      </c>
      <c r="DR107" s="130" t="inlineStr">
        <is>
          <t>0,09%</t>
        </is>
      </c>
      <c r="DS107" s="131" t="inlineStr">
        <is>
          <t>1.510</t>
        </is>
      </c>
      <c r="DT107" s="132" t="inlineStr">
        <is>
          <t>-22</t>
        </is>
      </c>
      <c r="DU107" s="133" t="inlineStr">
        <is>
          <t>-1,44%</t>
        </is>
      </c>
      <c r="DV107" s="134" t="inlineStr">
        <is>
          <t>9.142</t>
        </is>
      </c>
      <c r="DW107" s="135" t="inlineStr">
        <is>
          <t>-13</t>
        </is>
      </c>
      <c r="DX107" s="136" t="inlineStr">
        <is>
          <t>-0,14%</t>
        </is>
      </c>
      <c r="DY107" s="137" t="inlineStr">
        <is>
          <t>PitchBook Research</t>
        </is>
      </c>
      <c r="DZ107" s="785">
        <f>HYPERLINK("https://my.pitchbook.com?c=56367-37", "View company online")</f>
      </c>
    </row>
    <row r="108">
      <c r="A108" s="139" t="inlineStr">
        <is>
          <t>55290-43</t>
        </is>
      </c>
      <c r="B108" s="140" t="inlineStr">
        <is>
          <t>Whisbi</t>
        </is>
      </c>
      <c r="C108" s="141" t="inlineStr">
        <is>
          <t/>
        </is>
      </c>
      <c r="D108" s="142" t="inlineStr">
        <is>
          <t>Whisbi Technologies</t>
        </is>
      </c>
      <c r="E108" s="143" t="inlineStr">
        <is>
          <t>55290-43</t>
        </is>
      </c>
      <c r="F108" s="144" t="inlineStr">
        <is>
          <t>Provider of a mobile-first conversational commerce platform intended to help businesses increase customer engagement and online sales. The company's mobile-first conversational commerce platform combines live video, chat, voice and chatbot functionalities by reducing the complexity of omnichannel marketing, enabling brands to connect with their online audience in real-time and defies traditional marketing limitations, giving brands the capability to reach online audiences at scale.</t>
        </is>
      </c>
      <c r="G108" s="145" t="inlineStr">
        <is>
          <t>Information Technology</t>
        </is>
      </c>
      <c r="H108" s="146" t="inlineStr">
        <is>
          <t>Communications and Networking</t>
        </is>
      </c>
      <c r="I108" s="147" t="inlineStr">
        <is>
          <t>Other Communications and Networking</t>
        </is>
      </c>
      <c r="J108" s="148" t="inlineStr">
        <is>
          <t>Other Communications and Networking*; Communication Software; Business/Productivity Software</t>
        </is>
      </c>
      <c r="K108" s="149" t="inlineStr">
        <is>
          <t>Mobile, SaaS</t>
        </is>
      </c>
      <c r="L108" s="150" t="inlineStr">
        <is>
          <t>Venture Capital-Backed</t>
        </is>
      </c>
      <c r="M108" s="151" t="n">
        <v>16.8</v>
      </c>
      <c r="N108" s="152" t="inlineStr">
        <is>
          <t>Generating Revenue</t>
        </is>
      </c>
      <c r="O108" s="153" t="inlineStr">
        <is>
          <t>Privately Held (backing)</t>
        </is>
      </c>
      <c r="P108" s="154" t="inlineStr">
        <is>
          <t>Venture Capital</t>
        </is>
      </c>
      <c r="Q108" s="155" t="inlineStr">
        <is>
          <t>www.whisbi.com</t>
        </is>
      </c>
      <c r="R108" s="156" t="n">
        <v>99.0</v>
      </c>
      <c r="S108" s="157" t="inlineStr">
        <is>
          <t/>
        </is>
      </c>
      <c r="T108" s="158" t="inlineStr">
        <is>
          <t/>
        </is>
      </c>
      <c r="U108" s="159" t="n">
        <v>2009.0</v>
      </c>
      <c r="V108" s="160" t="inlineStr">
        <is>
          <t/>
        </is>
      </c>
      <c r="W108" s="161" t="inlineStr">
        <is>
          <t/>
        </is>
      </c>
      <c r="X108" s="162" t="inlineStr">
        <is>
          <t/>
        </is>
      </c>
      <c r="Y108" s="163" t="n">
        <v>0.7993</v>
      </c>
      <c r="Z108" s="164" t="inlineStr">
        <is>
          <t/>
        </is>
      </c>
      <c r="AA108" s="165" t="inlineStr">
        <is>
          <t/>
        </is>
      </c>
      <c r="AB108" s="166" t="inlineStr">
        <is>
          <t/>
        </is>
      </c>
      <c r="AC108" s="167" t="inlineStr">
        <is>
          <t/>
        </is>
      </c>
      <c r="AD108" s="168" t="inlineStr">
        <is>
          <t>FY 2015</t>
        </is>
      </c>
      <c r="AE108" s="169" t="inlineStr">
        <is>
          <t>53031-16P</t>
        </is>
      </c>
      <c r="AF108" s="170" t="inlineStr">
        <is>
          <t>Dulcis Torras</t>
        </is>
      </c>
      <c r="AG108" s="171" t="inlineStr">
        <is>
          <t>Chief Financial Officer</t>
        </is>
      </c>
      <c r="AH108" s="172" t="inlineStr">
        <is>
          <t>d.torras@whisbi.com</t>
        </is>
      </c>
      <c r="AI108" s="173" t="inlineStr">
        <is>
          <t>+34 93 176 3827</t>
        </is>
      </c>
      <c r="AJ108" s="174" t="inlineStr">
        <is>
          <t>Barcelona, Spain</t>
        </is>
      </c>
      <c r="AK108" s="175" t="inlineStr">
        <is>
          <t>Carrer Calàbria 169</t>
        </is>
      </c>
      <c r="AL108" s="176" t="inlineStr">
        <is>
          <t>9th and 10th floor</t>
        </is>
      </c>
      <c r="AM108" s="177" t="inlineStr">
        <is>
          <t>Barcelona</t>
        </is>
      </c>
      <c r="AN108" s="178" t="inlineStr">
        <is>
          <t/>
        </is>
      </c>
      <c r="AO108" s="179" t="inlineStr">
        <is>
          <t>08015</t>
        </is>
      </c>
      <c r="AP108" s="180" t="inlineStr">
        <is>
          <t>Spain</t>
        </is>
      </c>
      <c r="AQ108" s="181" t="inlineStr">
        <is>
          <t>+34 93 176 3827</t>
        </is>
      </c>
      <c r="AR108" s="182" t="inlineStr">
        <is>
          <t/>
        </is>
      </c>
      <c r="AS108" s="183" t="inlineStr">
        <is>
          <t/>
        </is>
      </c>
      <c r="AT108" s="184" t="inlineStr">
        <is>
          <t>Europe</t>
        </is>
      </c>
      <c r="AU108" s="185" t="inlineStr">
        <is>
          <t>Southern Europe</t>
        </is>
      </c>
      <c r="AV108" s="186" t="inlineStr">
        <is>
          <t>The company raised EUR 1 million from Institut Català de Finances on July 26, 2017.</t>
        </is>
      </c>
      <c r="AW108" s="187" t="inlineStr">
        <is>
          <t>Active Venture Partners, Bertelsmann Digital Media Investments, Institut Català de Finances</t>
        </is>
      </c>
      <c r="AX108" s="188" t="n">
        <v>3.0</v>
      </c>
      <c r="AY108" s="189" t="inlineStr">
        <is>
          <t/>
        </is>
      </c>
      <c r="AZ108" s="190" t="inlineStr">
        <is>
          <t/>
        </is>
      </c>
      <c r="BA108" s="191" t="inlineStr">
        <is>
          <t/>
        </is>
      </c>
      <c r="BB108" s="192" t="inlineStr">
        <is>
          <t>Active Venture Partners (www.active-vp.com), Bertelsmann Digital Media Investments (www.bdmifund.com), Institut Català de Finances (www.icf.cat)</t>
        </is>
      </c>
      <c r="BC108" s="193" t="inlineStr">
        <is>
          <t/>
        </is>
      </c>
      <c r="BD108" s="194" t="inlineStr">
        <is>
          <t/>
        </is>
      </c>
      <c r="BE108" s="195" t="inlineStr">
        <is>
          <t/>
        </is>
      </c>
      <c r="BF108" s="196" t="inlineStr">
        <is>
          <t>Jones Day (Legal Advisor)</t>
        </is>
      </c>
      <c r="BG108" s="197" t="n">
        <v>40931.0</v>
      </c>
      <c r="BH108" s="198" t="inlineStr">
        <is>
          <t/>
        </is>
      </c>
      <c r="BI108" s="199" t="inlineStr">
        <is>
          <t/>
        </is>
      </c>
      <c r="BJ108" s="200" t="inlineStr">
        <is>
          <t/>
        </is>
      </c>
      <c r="BK108" s="201" t="inlineStr">
        <is>
          <t/>
        </is>
      </c>
      <c r="BL108" s="202" t="inlineStr">
        <is>
          <t>Early Stage VC</t>
        </is>
      </c>
      <c r="BM108" s="203" t="inlineStr">
        <is>
          <t/>
        </is>
      </c>
      <c r="BN108" s="204" t="inlineStr">
        <is>
          <t/>
        </is>
      </c>
      <c r="BO108" s="205" t="inlineStr">
        <is>
          <t>Venture Capital</t>
        </is>
      </c>
      <c r="BP108" s="206" t="inlineStr">
        <is>
          <t/>
        </is>
      </c>
      <c r="BQ108" s="207" t="inlineStr">
        <is>
          <t/>
        </is>
      </c>
      <c r="BR108" s="208" t="inlineStr">
        <is>
          <t/>
        </is>
      </c>
      <c r="BS108" s="209" t="inlineStr">
        <is>
          <t>Completed</t>
        </is>
      </c>
      <c r="BT108" s="210" t="n">
        <v>42942.0</v>
      </c>
      <c r="BU108" s="211" t="n">
        <v>1.0</v>
      </c>
      <c r="BV108" s="212" t="inlineStr">
        <is>
          <t>Actual</t>
        </is>
      </c>
      <c r="BW108" s="213" t="inlineStr">
        <is>
          <t/>
        </is>
      </c>
      <c r="BX108" s="214" t="inlineStr">
        <is>
          <t/>
        </is>
      </c>
      <c r="BY108" s="215" t="inlineStr">
        <is>
          <t>Later Stage VC</t>
        </is>
      </c>
      <c r="BZ108" s="216" t="inlineStr">
        <is>
          <t/>
        </is>
      </c>
      <c r="CA108" s="217" t="inlineStr">
        <is>
          <t/>
        </is>
      </c>
      <c r="CB108" s="218" t="inlineStr">
        <is>
          <t>Venture Capital</t>
        </is>
      </c>
      <c r="CC108" s="219" t="inlineStr">
        <is>
          <t/>
        </is>
      </c>
      <c r="CD108" s="220" t="inlineStr">
        <is>
          <t/>
        </is>
      </c>
      <c r="CE108" s="221" t="inlineStr">
        <is>
          <t/>
        </is>
      </c>
      <c r="CF108" s="222" t="inlineStr">
        <is>
          <t>Completed</t>
        </is>
      </c>
      <c r="CG108" s="223" t="inlineStr">
        <is>
          <t>-0,37%</t>
        </is>
      </c>
      <c r="CH108" s="224" t="inlineStr">
        <is>
          <t>20</t>
        </is>
      </c>
      <c r="CI108" s="225" t="inlineStr">
        <is>
          <t>-0,33%</t>
        </is>
      </c>
      <c r="CJ108" s="226" t="inlineStr">
        <is>
          <t>-954,43%</t>
        </is>
      </c>
      <c r="CK108" s="227" t="inlineStr">
        <is>
          <t>-1,00%</t>
        </is>
      </c>
      <c r="CL108" s="228" t="inlineStr">
        <is>
          <t>19</t>
        </is>
      </c>
      <c r="CM108" s="229" t="inlineStr">
        <is>
          <t>0,27%</t>
        </is>
      </c>
      <c r="CN108" s="230" t="inlineStr">
        <is>
          <t>78</t>
        </is>
      </c>
      <c r="CO108" s="231" t="inlineStr">
        <is>
          <t/>
        </is>
      </c>
      <c r="CP108" s="232" t="inlineStr">
        <is>
          <t/>
        </is>
      </c>
      <c r="CQ108" s="233" t="inlineStr">
        <is>
          <t>-1,00%</t>
        </is>
      </c>
      <c r="CR108" s="234" t="inlineStr">
        <is>
          <t>10</t>
        </is>
      </c>
      <c r="CS108" s="235" t="inlineStr">
        <is>
          <t>0,59%</t>
        </is>
      </c>
      <c r="CT108" s="236" t="inlineStr">
        <is>
          <t>89</t>
        </is>
      </c>
      <c r="CU108" s="237" t="inlineStr">
        <is>
          <t>-0,06%</t>
        </is>
      </c>
      <c r="CV108" s="238" t="inlineStr">
        <is>
          <t>12</t>
        </is>
      </c>
      <c r="CW108" s="239" t="inlineStr">
        <is>
          <t>15,93x</t>
        </is>
      </c>
      <c r="CX108" s="240" t="inlineStr">
        <is>
          <t>91</t>
        </is>
      </c>
      <c r="CY108" s="241" t="inlineStr">
        <is>
          <t>-0,77x</t>
        </is>
      </c>
      <c r="CZ108" s="242" t="inlineStr">
        <is>
          <t>-4,63%</t>
        </is>
      </c>
      <c r="DA108" s="243" t="inlineStr">
        <is>
          <t>12,86x</t>
        </is>
      </c>
      <c r="DB108" s="244" t="inlineStr">
        <is>
          <t>91</t>
        </is>
      </c>
      <c r="DC108" s="245" t="inlineStr">
        <is>
          <t>19,00x</t>
        </is>
      </c>
      <c r="DD108" s="246" t="inlineStr">
        <is>
          <t>89</t>
        </is>
      </c>
      <c r="DE108" s="247" t="inlineStr">
        <is>
          <t/>
        </is>
      </c>
      <c r="DF108" s="248" t="inlineStr">
        <is>
          <t/>
        </is>
      </c>
      <c r="DG108" s="249" t="inlineStr">
        <is>
          <t>12,86x</t>
        </is>
      </c>
      <c r="DH108" s="250" t="inlineStr">
        <is>
          <t>90</t>
        </is>
      </c>
      <c r="DI108" s="251" t="inlineStr">
        <is>
          <t>0,41x</t>
        </is>
      </c>
      <c r="DJ108" s="252" t="inlineStr">
        <is>
          <t>35</t>
        </is>
      </c>
      <c r="DK108" s="253" t="inlineStr">
        <is>
          <t>37,58x</t>
        </is>
      </c>
      <c r="DL108" s="254" t="inlineStr">
        <is>
          <t>95</t>
        </is>
      </c>
      <c r="DM108" s="255" t="inlineStr">
        <is>
          <t/>
        </is>
      </c>
      <c r="DN108" s="256" t="inlineStr">
        <is>
          <t/>
        </is>
      </c>
      <c r="DO108" s="257" t="inlineStr">
        <is>
          <t/>
        </is>
      </c>
      <c r="DP108" s="258" t="inlineStr">
        <is>
          <t>325</t>
        </is>
      </c>
      <c r="DQ108" s="259" t="inlineStr">
        <is>
          <t>0</t>
        </is>
      </c>
      <c r="DR108" s="260" t="inlineStr">
        <is>
          <t>0,00%</t>
        </is>
      </c>
      <c r="DS108" s="261" t="inlineStr">
        <is>
          <t>483</t>
        </is>
      </c>
      <c r="DT108" s="262" t="inlineStr">
        <is>
          <t>-28</t>
        </is>
      </c>
      <c r="DU108" s="263" t="inlineStr">
        <is>
          <t>-5,48%</t>
        </is>
      </c>
      <c r="DV108" s="264" t="inlineStr">
        <is>
          <t>14.054</t>
        </is>
      </c>
      <c r="DW108" s="265" t="inlineStr">
        <is>
          <t>-4</t>
        </is>
      </c>
      <c r="DX108" s="266" t="inlineStr">
        <is>
          <t>-0,03%</t>
        </is>
      </c>
      <c r="DY108" s="267" t="inlineStr">
        <is>
          <t>PitchBook Research</t>
        </is>
      </c>
      <c r="DZ108" s="786">
        <f>HYPERLINK("https://my.pitchbook.com?c=55290-43", "View company online")</f>
      </c>
    </row>
    <row r="109">
      <c r="A109" s="9" t="inlineStr">
        <is>
          <t>56999-08</t>
        </is>
      </c>
      <c r="B109" s="10" t="inlineStr">
        <is>
          <t>Fusetools</t>
        </is>
      </c>
      <c r="C109" s="11" t="inlineStr">
        <is>
          <t>Outracks Technologies</t>
        </is>
      </c>
      <c r="D109" s="12" t="inlineStr">
        <is>
          <t>Fuse</t>
        </is>
      </c>
      <c r="E109" s="13" t="inlineStr">
        <is>
          <t>56999-08</t>
        </is>
      </c>
      <c r="F109" s="14" t="inlineStr">
        <is>
          <t>Provider of a mobile application development platform. The company's platform offers a tool suite that helps to build native applications for both iOS and Android platforms.</t>
        </is>
      </c>
      <c r="G109" s="15" t="inlineStr">
        <is>
          <t>Information Technology</t>
        </is>
      </c>
      <c r="H109" s="16" t="inlineStr">
        <is>
          <t>Software</t>
        </is>
      </c>
      <c r="I109" s="17" t="inlineStr">
        <is>
          <t>Application Software</t>
        </is>
      </c>
      <c r="J109" s="18" t="inlineStr">
        <is>
          <t>Application Software*; Software Development Applications; Social/Platform Software</t>
        </is>
      </c>
      <c r="K109" s="19" t="inlineStr">
        <is>
          <t>Mobile</t>
        </is>
      </c>
      <c r="L109" s="20" t="inlineStr">
        <is>
          <t>Venture Capital-Backed</t>
        </is>
      </c>
      <c r="M109" s="21" t="n">
        <v>16.68</v>
      </c>
      <c r="N109" s="22" t="inlineStr">
        <is>
          <t>Generating Revenue</t>
        </is>
      </c>
      <c r="O109" s="23" t="inlineStr">
        <is>
          <t>Privately Held (backing)</t>
        </is>
      </c>
      <c r="P109" s="24" t="inlineStr">
        <is>
          <t>Venture Capital</t>
        </is>
      </c>
      <c r="Q109" s="25" t="inlineStr">
        <is>
          <t>www.fusetools.com</t>
        </is>
      </c>
      <c r="R109" s="26" t="n">
        <v>24.0</v>
      </c>
      <c r="S109" s="27" t="inlineStr">
        <is>
          <t/>
        </is>
      </c>
      <c r="T109" s="28" t="inlineStr">
        <is>
          <t/>
        </is>
      </c>
      <c r="U109" s="29" t="n">
        <v>2011.0</v>
      </c>
      <c r="V109" s="30" t="inlineStr">
        <is>
          <t/>
        </is>
      </c>
      <c r="W109" s="31" t="inlineStr">
        <is>
          <t/>
        </is>
      </c>
      <c r="X109" s="32" t="inlineStr">
        <is>
          <t/>
        </is>
      </c>
      <c r="Y109" s="33" t="n">
        <v>0.05512</v>
      </c>
      <c r="Z109" s="34" t="inlineStr">
        <is>
          <t/>
        </is>
      </c>
      <c r="AA109" s="35" t="n">
        <v>-2.33357</v>
      </c>
      <c r="AB109" s="36" t="inlineStr">
        <is>
          <t/>
        </is>
      </c>
      <c r="AC109" s="37" t="n">
        <v>-2.29682</v>
      </c>
      <c r="AD109" s="38" t="inlineStr">
        <is>
          <t>FY 2015</t>
        </is>
      </c>
      <c r="AE109" s="39" t="inlineStr">
        <is>
          <t>53056-54P</t>
        </is>
      </c>
      <c r="AF109" s="40" t="inlineStr">
        <is>
          <t>Anders Knive Lassen</t>
        </is>
      </c>
      <c r="AG109" s="41" t="inlineStr">
        <is>
          <t>Co-Founder &amp; Chief Executive Officer</t>
        </is>
      </c>
      <c r="AH109" s="42" t="inlineStr">
        <is>
          <t>anders@outracks.com</t>
        </is>
      </c>
      <c r="AI109" s="43" t="inlineStr">
        <is>
          <t>+47 91 13 61 68</t>
        </is>
      </c>
      <c r="AJ109" s="44" t="inlineStr">
        <is>
          <t>Oslo, Norway</t>
        </is>
      </c>
      <c r="AK109" s="45" t="inlineStr">
        <is>
          <t>Tollbugata 32</t>
        </is>
      </c>
      <c r="AL109" s="46" t="inlineStr">
        <is>
          <t/>
        </is>
      </c>
      <c r="AM109" s="47" t="inlineStr">
        <is>
          <t>Oslo</t>
        </is>
      </c>
      <c r="AN109" s="48" t="inlineStr">
        <is>
          <t/>
        </is>
      </c>
      <c r="AO109" s="49" t="inlineStr">
        <is>
          <t>0157</t>
        </is>
      </c>
      <c r="AP109" s="50" t="inlineStr">
        <is>
          <t>Norway</t>
        </is>
      </c>
      <c r="AQ109" s="51" t="inlineStr">
        <is>
          <t>+47 91 13 61 68</t>
        </is>
      </c>
      <c r="AR109" s="52" t="inlineStr">
        <is>
          <t/>
        </is>
      </c>
      <c r="AS109" s="53" t="inlineStr">
        <is>
          <t>contact@fusetools.com</t>
        </is>
      </c>
      <c r="AT109" s="54" t="inlineStr">
        <is>
          <t>Europe</t>
        </is>
      </c>
      <c r="AU109" s="55" t="inlineStr">
        <is>
          <t>Northern Europe</t>
        </is>
      </c>
      <c r="AV109" s="56" t="inlineStr">
        <is>
          <t>The company raised $12 million of Series A venture funding from Northzone Ventures and Alliance Venture on January 24, 2017. The company will use the funds to continue to build the platform and expand operations.</t>
        </is>
      </c>
      <c r="AW109" s="57" t="inlineStr">
        <is>
          <t>Alliance Venture, Northzone Ventures, Springfondet Management</t>
        </is>
      </c>
      <c r="AX109" s="58" t="n">
        <v>3.0</v>
      </c>
      <c r="AY109" s="59" t="inlineStr">
        <is>
          <t/>
        </is>
      </c>
      <c r="AZ109" s="60" t="inlineStr">
        <is>
          <t/>
        </is>
      </c>
      <c r="BA109" s="61" t="inlineStr">
        <is>
          <t/>
        </is>
      </c>
      <c r="BB109" s="62" t="inlineStr">
        <is>
          <t>Alliance Venture (www.allianceventure.com), Northzone Ventures (www.northzone.com), Springfondet Management (www.springfondet.no)</t>
        </is>
      </c>
      <c r="BC109" s="63" t="inlineStr">
        <is>
          <t/>
        </is>
      </c>
      <c r="BD109" s="64" t="inlineStr">
        <is>
          <t/>
        </is>
      </c>
      <c r="BE109" s="65" t="inlineStr">
        <is>
          <t/>
        </is>
      </c>
      <c r="BF109" s="66" t="inlineStr">
        <is>
          <t>Arctic Securities (Advisor: General)</t>
        </is>
      </c>
      <c r="BG109" s="67" t="n">
        <v>41229.0</v>
      </c>
      <c r="BH109" s="68" t="n">
        <v>0.41</v>
      </c>
      <c r="BI109" s="69" t="inlineStr">
        <is>
          <t>Actual</t>
        </is>
      </c>
      <c r="BJ109" s="70" t="inlineStr">
        <is>
          <t/>
        </is>
      </c>
      <c r="BK109" s="71" t="inlineStr">
        <is>
          <t/>
        </is>
      </c>
      <c r="BL109" s="72" t="inlineStr">
        <is>
          <t>Seed Round</t>
        </is>
      </c>
      <c r="BM109" s="73" t="inlineStr">
        <is>
          <t>Seed</t>
        </is>
      </c>
      <c r="BN109" s="74" t="inlineStr">
        <is>
          <t/>
        </is>
      </c>
      <c r="BO109" s="75" t="inlineStr">
        <is>
          <t>Venture Capital</t>
        </is>
      </c>
      <c r="BP109" s="76" t="inlineStr">
        <is>
          <t/>
        </is>
      </c>
      <c r="BQ109" s="77" t="inlineStr">
        <is>
          <t/>
        </is>
      </c>
      <c r="BR109" s="78" t="inlineStr">
        <is>
          <t/>
        </is>
      </c>
      <c r="BS109" s="79" t="inlineStr">
        <is>
          <t>Completed</t>
        </is>
      </c>
      <c r="BT109" s="80" t="n">
        <v>42759.0</v>
      </c>
      <c r="BU109" s="81" t="n">
        <v>11.3</v>
      </c>
      <c r="BV109" s="82" t="inlineStr">
        <is>
          <t>Actual</t>
        </is>
      </c>
      <c r="BW109" s="83" t="inlineStr">
        <is>
          <t/>
        </is>
      </c>
      <c r="BX109" s="84" t="inlineStr">
        <is>
          <t/>
        </is>
      </c>
      <c r="BY109" s="85" t="inlineStr">
        <is>
          <t>Later Stage VC</t>
        </is>
      </c>
      <c r="BZ109" s="86" t="inlineStr">
        <is>
          <t>Series A</t>
        </is>
      </c>
      <c r="CA109" s="87" t="inlineStr">
        <is>
          <t/>
        </is>
      </c>
      <c r="CB109" s="88" t="inlineStr">
        <is>
          <t>Venture Capital</t>
        </is>
      </c>
      <c r="CC109" s="89" t="inlineStr">
        <is>
          <t/>
        </is>
      </c>
      <c r="CD109" s="90" t="inlineStr">
        <is>
          <t/>
        </is>
      </c>
      <c r="CE109" s="91" t="inlineStr">
        <is>
          <t/>
        </is>
      </c>
      <c r="CF109" s="92" t="inlineStr">
        <is>
          <t>Completed</t>
        </is>
      </c>
      <c r="CG109" s="93" t="inlineStr">
        <is>
          <t>-4,19%</t>
        </is>
      </c>
      <c r="CH109" s="94" t="inlineStr">
        <is>
          <t>5</t>
        </is>
      </c>
      <c r="CI109" s="95" t="inlineStr">
        <is>
          <t>-0,06%</t>
        </is>
      </c>
      <c r="CJ109" s="96" t="inlineStr">
        <is>
          <t>-1,39%</t>
        </is>
      </c>
      <c r="CK109" s="97" t="inlineStr">
        <is>
          <t>-8,42%</t>
        </is>
      </c>
      <c r="CL109" s="98" t="inlineStr">
        <is>
          <t>4</t>
        </is>
      </c>
      <c r="CM109" s="99" t="inlineStr">
        <is>
          <t>0,05%</t>
        </is>
      </c>
      <c r="CN109" s="100" t="inlineStr">
        <is>
          <t>49</t>
        </is>
      </c>
      <c r="CO109" s="101" t="inlineStr">
        <is>
          <t>-15,38%</t>
        </is>
      </c>
      <c r="CP109" s="102" t="inlineStr">
        <is>
          <t>8</t>
        </is>
      </c>
      <c r="CQ109" s="103" t="inlineStr">
        <is>
          <t>-1,47%</t>
        </is>
      </c>
      <c r="CR109" s="104" t="inlineStr">
        <is>
          <t>5</t>
        </is>
      </c>
      <c r="CS109" s="105" t="inlineStr">
        <is>
          <t>0,22%</t>
        </is>
      </c>
      <c r="CT109" s="106" t="inlineStr">
        <is>
          <t>71</t>
        </is>
      </c>
      <c r="CU109" s="107" t="inlineStr">
        <is>
          <t>-0,12%</t>
        </is>
      </c>
      <c r="CV109" s="108" t="inlineStr">
        <is>
          <t>6</t>
        </is>
      </c>
      <c r="CW109" s="109" t="inlineStr">
        <is>
          <t>26,60x</t>
        </is>
      </c>
      <c r="CX109" s="110" t="inlineStr">
        <is>
          <t>94</t>
        </is>
      </c>
      <c r="CY109" s="111" t="inlineStr">
        <is>
          <t>-0,27x</t>
        </is>
      </c>
      <c r="CZ109" s="112" t="inlineStr">
        <is>
          <t>-1,01%</t>
        </is>
      </c>
      <c r="DA109" s="113" t="inlineStr">
        <is>
          <t>17,97x</t>
        </is>
      </c>
      <c r="DB109" s="114" t="inlineStr">
        <is>
          <t>93</t>
        </is>
      </c>
      <c r="DC109" s="115" t="inlineStr">
        <is>
          <t>35,23x</t>
        </is>
      </c>
      <c r="DD109" s="116" t="inlineStr">
        <is>
          <t>93</t>
        </is>
      </c>
      <c r="DE109" s="117" t="inlineStr">
        <is>
          <t>19,22x</t>
        </is>
      </c>
      <c r="DF109" s="118" t="inlineStr">
        <is>
          <t>92</t>
        </is>
      </c>
      <c r="DG109" s="119" t="inlineStr">
        <is>
          <t>16,72x</t>
        </is>
      </c>
      <c r="DH109" s="120" t="inlineStr">
        <is>
          <t>92</t>
        </is>
      </c>
      <c r="DI109" s="121" t="inlineStr">
        <is>
          <t>9,06x</t>
        </is>
      </c>
      <c r="DJ109" s="122" t="inlineStr">
        <is>
          <t>81</t>
        </is>
      </c>
      <c r="DK109" s="123" t="inlineStr">
        <is>
          <t>61,40x</t>
        </is>
      </c>
      <c r="DL109" s="124" t="inlineStr">
        <is>
          <t>97</t>
        </is>
      </c>
      <c r="DM109" s="125" t="inlineStr">
        <is>
          <t>7.115</t>
        </is>
      </c>
      <c r="DN109" s="126" t="inlineStr">
        <is>
          <t>83</t>
        </is>
      </c>
      <c r="DO109" s="127" t="inlineStr">
        <is>
          <t>1,18%</t>
        </is>
      </c>
      <c r="DP109" s="128" t="inlineStr">
        <is>
          <t>7.174</t>
        </is>
      </c>
      <c r="DQ109" s="129" t="inlineStr">
        <is>
          <t>1</t>
        </is>
      </c>
      <c r="DR109" s="130" t="inlineStr">
        <is>
          <t>0,01%</t>
        </is>
      </c>
      <c r="DS109" s="131" t="inlineStr">
        <is>
          <t>606</t>
        </is>
      </c>
      <c r="DT109" s="132" t="inlineStr">
        <is>
          <t>-10</t>
        </is>
      </c>
      <c r="DU109" s="133" t="inlineStr">
        <is>
          <t>-1,62%</t>
        </is>
      </c>
      <c r="DV109" s="134" t="inlineStr">
        <is>
          <t>22.977</t>
        </is>
      </c>
      <c r="DW109" s="135" t="inlineStr">
        <is>
          <t>-27</t>
        </is>
      </c>
      <c r="DX109" s="136" t="inlineStr">
        <is>
          <t>-0,12%</t>
        </is>
      </c>
      <c r="DY109" s="137" t="inlineStr">
        <is>
          <t>PitchBook Research</t>
        </is>
      </c>
      <c r="DZ109" s="785">
        <f>HYPERLINK("https://my.pitchbook.com?c=56999-08", "View company online")</f>
      </c>
    </row>
    <row r="110">
      <c r="A110" s="139" t="inlineStr">
        <is>
          <t>56636-29</t>
        </is>
      </c>
      <c r="B110" s="140" t="inlineStr">
        <is>
          <t>Sentiance</t>
        </is>
      </c>
      <c r="C110" s="141" t="inlineStr">
        <is>
          <t>Argus Labs</t>
        </is>
      </c>
      <c r="D110" s="142" t="inlineStr">
        <is>
          <t/>
        </is>
      </c>
      <c r="E110" s="143" t="inlineStr">
        <is>
          <t>56636-29</t>
        </is>
      </c>
      <c r="F110" s="144" t="inlineStr">
        <is>
          <t>Provider of an automated sensor fusion platform designed to turn IOT sensor data into behavioral insights. The company's automated sensor fusion platform uses machine learning algorithms and deep learning techniques to analyse IOT sensor data from mobile phones, wearables and IoT gateways and turns this data into rich behavioural and contextual insights, enabling companies to understand how customers go through their everyday lives, discover and anticipate the moments that matter most and adapt their engagement to real-world behavior and real-time context.</t>
        </is>
      </c>
      <c r="G110" s="145" t="inlineStr">
        <is>
          <t>Information Technology</t>
        </is>
      </c>
      <c r="H110" s="146" t="inlineStr">
        <is>
          <t>Software</t>
        </is>
      </c>
      <c r="I110" s="147" t="inlineStr">
        <is>
          <t>Database Software</t>
        </is>
      </c>
      <c r="J110" s="148" t="inlineStr">
        <is>
          <t>Database Software*; Business/Productivity Software</t>
        </is>
      </c>
      <c r="K110" s="149" t="inlineStr">
        <is>
          <t>Artificial Intelligence &amp; Machine Learning, Big Data, Internet of Things</t>
        </is>
      </c>
      <c r="L110" s="150" t="inlineStr">
        <is>
          <t>Venture Capital-Backed</t>
        </is>
      </c>
      <c r="M110" s="151" t="n">
        <v>16.11</v>
      </c>
      <c r="N110" s="152" t="inlineStr">
        <is>
          <t>Generating Revenue</t>
        </is>
      </c>
      <c r="O110" s="153" t="inlineStr">
        <is>
          <t>Privately Held (backing)</t>
        </is>
      </c>
      <c r="P110" s="154" t="inlineStr">
        <is>
          <t>Venture Capital</t>
        </is>
      </c>
      <c r="Q110" s="155" t="inlineStr">
        <is>
          <t>www.sentiance.com</t>
        </is>
      </c>
      <c r="R110" s="156" t="n">
        <v>19.0</v>
      </c>
      <c r="S110" s="157" t="inlineStr">
        <is>
          <t/>
        </is>
      </c>
      <c r="T110" s="158" t="inlineStr">
        <is>
          <t/>
        </is>
      </c>
      <c r="U110" s="159" t="n">
        <v>2011.0</v>
      </c>
      <c r="V110" s="160" t="inlineStr">
        <is>
          <t/>
        </is>
      </c>
      <c r="W110" s="161" t="inlineStr">
        <is>
          <t/>
        </is>
      </c>
      <c r="X110" s="162" t="inlineStr">
        <is>
          <t/>
        </is>
      </c>
      <c r="Y110" s="163" t="inlineStr">
        <is>
          <t/>
        </is>
      </c>
      <c r="Z110" s="164" t="inlineStr">
        <is>
          <t/>
        </is>
      </c>
      <c r="AA110" s="165" t="n">
        <v>-1.92564</v>
      </c>
      <c r="AB110" s="166" t="inlineStr">
        <is>
          <t/>
        </is>
      </c>
      <c r="AC110" s="167" t="n">
        <v>-3.73744</v>
      </c>
      <c r="AD110" s="168" t="inlineStr">
        <is>
          <t>FY 2016</t>
        </is>
      </c>
      <c r="AE110" s="169" t="inlineStr">
        <is>
          <t>91390-42P</t>
        </is>
      </c>
      <c r="AF110" s="170" t="inlineStr">
        <is>
          <t>Antoon Vanparys</t>
        </is>
      </c>
      <c r="AG110" s="171" t="inlineStr">
        <is>
          <t>Chief Executive Officer &amp; Board Member</t>
        </is>
      </c>
      <c r="AH110" s="172" t="inlineStr">
        <is>
          <t>toon.vanparys@sentiance.com</t>
        </is>
      </c>
      <c r="AI110" s="173" t="inlineStr">
        <is>
          <t>+32 (0)3 369 96 96</t>
        </is>
      </c>
      <c r="AJ110" s="174" t="inlineStr">
        <is>
          <t>Antwerp, Belgium</t>
        </is>
      </c>
      <c r="AK110" s="175" t="inlineStr">
        <is>
          <t>Korte Lozanastraat 20-26</t>
        </is>
      </c>
      <c r="AL110" s="176" t="inlineStr">
        <is>
          <t/>
        </is>
      </c>
      <c r="AM110" s="177" t="inlineStr">
        <is>
          <t>Antwerp</t>
        </is>
      </c>
      <c r="AN110" s="178" t="inlineStr">
        <is>
          <t/>
        </is>
      </c>
      <c r="AO110" s="179" t="inlineStr">
        <is>
          <t>2018</t>
        </is>
      </c>
      <c r="AP110" s="180" t="inlineStr">
        <is>
          <t>Belgium</t>
        </is>
      </c>
      <c r="AQ110" s="181" t="inlineStr">
        <is>
          <t>+32 (0)3 369 96 96</t>
        </is>
      </c>
      <c r="AR110" s="182" t="inlineStr">
        <is>
          <t/>
        </is>
      </c>
      <c r="AS110" s="183" t="inlineStr">
        <is>
          <t>info@sentiance.com</t>
        </is>
      </c>
      <c r="AT110" s="184" t="inlineStr">
        <is>
          <t>Europe</t>
        </is>
      </c>
      <c r="AU110" s="185" t="inlineStr">
        <is>
          <t>Western Europe</t>
        </is>
      </c>
      <c r="AV110" s="186" t="inlineStr">
        <is>
          <t>The company raised EUR 8 million of Series C venture funding in a deal led by Volta Ventures on June 27, 2017. KPN Ventures, Triggers, Qbic Fund, Pamica and Samsung Strategy, Innovation Center and other undisclosed investors also participated in the round. The company will use the funds to gain leadership, strengthen its intelligence platform and accelerate the growth globally. Earlier, the company joined Plug and Play Tech Center as a part of its Internet of Things Batch 6 and received an undisclosed amount of funding on March 21, 2017.</t>
        </is>
      </c>
      <c r="AW110" s="187" t="inlineStr">
        <is>
          <t>Duval Union CVBA, KPN Ventures, NOVA Participations, Pamica, Plug and Play Tech Center, Qbic Fund, Samsung Catalyst, Seamless Accelerator, Triggers, Volta Ventures</t>
        </is>
      </c>
      <c r="AX110" s="188" t="n">
        <v>10.0</v>
      </c>
      <c r="AY110" s="189" t="inlineStr">
        <is>
          <t/>
        </is>
      </c>
      <c r="AZ110" s="190" t="inlineStr">
        <is>
          <t/>
        </is>
      </c>
      <c r="BA110" s="191" t="inlineStr">
        <is>
          <t/>
        </is>
      </c>
      <c r="BB110" s="192" t="inlineStr">
        <is>
          <t>KPN Ventures (www.kpnventures.com), Pamica (www.pamica.be), Plug and Play Tech Center (www.plugandplaytechcenter.com), Qbic Fund (www.qbic.be), Samsung Catalyst (www.samsungcatalyst.com), Seamless Accelerator (www.seamlessiot.com), Volta Ventures (www.volta.ventures)</t>
        </is>
      </c>
      <c r="BC110" s="193" t="inlineStr">
        <is>
          <t/>
        </is>
      </c>
      <c r="BD110" s="194" t="inlineStr">
        <is>
          <t/>
        </is>
      </c>
      <c r="BE110" s="195" t="inlineStr">
        <is>
          <t>BNP Paribas (General Business Banking), Connect Digital Partners (Consulting), Noronha-Roelens Legal Consulting (Legal Advisor), Cresco (Business Law Firm) (Legal Advisor)</t>
        </is>
      </c>
      <c r="BF110" s="196" t="inlineStr">
        <is>
          <t/>
        </is>
      </c>
      <c r="BG110" s="197" t="n">
        <v>41030.0</v>
      </c>
      <c r="BH110" s="198" t="n">
        <v>0.39</v>
      </c>
      <c r="BI110" s="199" t="inlineStr">
        <is>
          <t>Actual</t>
        </is>
      </c>
      <c r="BJ110" s="200" t="inlineStr">
        <is>
          <t/>
        </is>
      </c>
      <c r="BK110" s="201" t="inlineStr">
        <is>
          <t/>
        </is>
      </c>
      <c r="BL110" s="202" t="inlineStr">
        <is>
          <t>Seed Round</t>
        </is>
      </c>
      <c r="BM110" s="203" t="inlineStr">
        <is>
          <t>Seed</t>
        </is>
      </c>
      <c r="BN110" s="204" t="inlineStr">
        <is>
          <t/>
        </is>
      </c>
      <c r="BO110" s="205" t="inlineStr">
        <is>
          <t>Other</t>
        </is>
      </c>
      <c r="BP110" s="206" t="inlineStr">
        <is>
          <t/>
        </is>
      </c>
      <c r="BQ110" s="207" t="inlineStr">
        <is>
          <t/>
        </is>
      </c>
      <c r="BR110" s="208" t="inlineStr">
        <is>
          <t/>
        </is>
      </c>
      <c r="BS110" s="209" t="inlineStr">
        <is>
          <t>Completed</t>
        </is>
      </c>
      <c r="BT110" s="210" t="n">
        <v>42913.0</v>
      </c>
      <c r="BU110" s="211" t="n">
        <v>8.0</v>
      </c>
      <c r="BV110" s="212" t="inlineStr">
        <is>
          <t>Actual</t>
        </is>
      </c>
      <c r="BW110" s="213" t="inlineStr">
        <is>
          <t/>
        </is>
      </c>
      <c r="BX110" s="214" t="inlineStr">
        <is>
          <t/>
        </is>
      </c>
      <c r="BY110" s="215" t="inlineStr">
        <is>
          <t>Later Stage VC</t>
        </is>
      </c>
      <c r="BZ110" s="216" t="inlineStr">
        <is>
          <t>Series C</t>
        </is>
      </c>
      <c r="CA110" s="217" t="inlineStr">
        <is>
          <t/>
        </is>
      </c>
      <c r="CB110" s="218" t="inlineStr">
        <is>
          <t>Venture Capital</t>
        </is>
      </c>
      <c r="CC110" s="219" t="inlineStr">
        <is>
          <t/>
        </is>
      </c>
      <c r="CD110" s="220" t="inlineStr">
        <is>
          <t/>
        </is>
      </c>
      <c r="CE110" s="221" t="inlineStr">
        <is>
          <t/>
        </is>
      </c>
      <c r="CF110" s="222" t="inlineStr">
        <is>
          <t>Completed</t>
        </is>
      </c>
      <c r="CG110" s="223" t="inlineStr">
        <is>
          <t>-0,78%</t>
        </is>
      </c>
      <c r="CH110" s="224" t="inlineStr">
        <is>
          <t>16</t>
        </is>
      </c>
      <c r="CI110" s="225" t="inlineStr">
        <is>
          <t>0,00%</t>
        </is>
      </c>
      <c r="CJ110" s="226" t="inlineStr">
        <is>
          <t>-0,62%</t>
        </is>
      </c>
      <c r="CK110" s="227" t="inlineStr">
        <is>
          <t>-1,88%</t>
        </is>
      </c>
      <c r="CL110" s="228" t="inlineStr">
        <is>
          <t>15</t>
        </is>
      </c>
      <c r="CM110" s="229" t="inlineStr">
        <is>
          <t>0,32%</t>
        </is>
      </c>
      <c r="CN110" s="230" t="inlineStr">
        <is>
          <t>81</t>
        </is>
      </c>
      <c r="CO110" s="231" t="inlineStr">
        <is>
          <t>-6,06%</t>
        </is>
      </c>
      <c r="CP110" s="232" t="inlineStr">
        <is>
          <t>19</t>
        </is>
      </c>
      <c r="CQ110" s="233" t="inlineStr">
        <is>
          <t>2,29%</t>
        </is>
      </c>
      <c r="CR110" s="234" t="inlineStr">
        <is>
          <t>96</t>
        </is>
      </c>
      <c r="CS110" s="235" t="inlineStr">
        <is>
          <t/>
        </is>
      </c>
      <c r="CT110" s="236" t="inlineStr">
        <is>
          <t/>
        </is>
      </c>
      <c r="CU110" s="237" t="inlineStr">
        <is>
          <t>0,32%</t>
        </is>
      </c>
      <c r="CV110" s="238" t="inlineStr">
        <is>
          <t>84</t>
        </is>
      </c>
      <c r="CW110" s="239" t="inlineStr">
        <is>
          <t>5,52x</t>
        </is>
      </c>
      <c r="CX110" s="240" t="inlineStr">
        <is>
          <t>81</t>
        </is>
      </c>
      <c r="CY110" s="241" t="inlineStr">
        <is>
          <t>0,02x</t>
        </is>
      </c>
      <c r="CZ110" s="242" t="inlineStr">
        <is>
          <t>0,30%</t>
        </is>
      </c>
      <c r="DA110" s="243" t="inlineStr">
        <is>
          <t>4,62x</t>
        </is>
      </c>
      <c r="DB110" s="244" t="inlineStr">
        <is>
          <t>80</t>
        </is>
      </c>
      <c r="DC110" s="245" t="inlineStr">
        <is>
          <t>6,41x</t>
        </is>
      </c>
      <c r="DD110" s="246" t="inlineStr">
        <is>
          <t>79</t>
        </is>
      </c>
      <c r="DE110" s="247" t="inlineStr">
        <is>
          <t>2,80x</t>
        </is>
      </c>
      <c r="DF110" s="248" t="inlineStr">
        <is>
          <t>72</t>
        </is>
      </c>
      <c r="DG110" s="249" t="inlineStr">
        <is>
          <t>6,44x</t>
        </is>
      </c>
      <c r="DH110" s="250" t="inlineStr">
        <is>
          <t>82</t>
        </is>
      </c>
      <c r="DI110" s="251" t="inlineStr">
        <is>
          <t/>
        </is>
      </c>
      <c r="DJ110" s="252" t="inlineStr">
        <is>
          <t/>
        </is>
      </c>
      <c r="DK110" s="253" t="inlineStr">
        <is>
          <t>6,41x</t>
        </is>
      </c>
      <c r="DL110" s="254" t="inlineStr">
        <is>
          <t>82</t>
        </is>
      </c>
      <c r="DM110" s="255" t="inlineStr">
        <is>
          <t>1.029</t>
        </is>
      </c>
      <c r="DN110" s="256" t="inlineStr">
        <is>
          <t>46</t>
        </is>
      </c>
      <c r="DO110" s="257" t="inlineStr">
        <is>
          <t>4,68%</t>
        </is>
      </c>
      <c r="DP110" s="258" t="inlineStr">
        <is>
          <t/>
        </is>
      </c>
      <c r="DQ110" s="259" t="inlineStr">
        <is>
          <t/>
        </is>
      </c>
      <c r="DR110" s="260" t="inlineStr">
        <is>
          <t/>
        </is>
      </c>
      <c r="DS110" s="261" t="inlineStr">
        <is>
          <t>229</t>
        </is>
      </c>
      <c r="DT110" s="262" t="inlineStr">
        <is>
          <t>5</t>
        </is>
      </c>
      <c r="DU110" s="263" t="inlineStr">
        <is>
          <t>2,23%</t>
        </is>
      </c>
      <c r="DV110" s="264" t="inlineStr">
        <is>
          <t>2.390</t>
        </is>
      </c>
      <c r="DW110" s="265" t="inlineStr">
        <is>
          <t>5</t>
        </is>
      </c>
      <c r="DX110" s="266" t="inlineStr">
        <is>
          <t>0,21%</t>
        </is>
      </c>
      <c r="DY110" s="267" t="inlineStr">
        <is>
          <t>PitchBook Research</t>
        </is>
      </c>
      <c r="DZ110" s="786">
        <f>HYPERLINK("https://my.pitchbook.com?c=56636-29", "View company online")</f>
      </c>
    </row>
    <row r="111">
      <c r="A111" s="9" t="inlineStr">
        <is>
          <t>64082-17</t>
        </is>
      </c>
      <c r="B111" s="10" t="inlineStr">
        <is>
          <t>Dealflo</t>
        </is>
      </c>
      <c r="C111" s="11" t="inlineStr">
        <is>
          <t>IOCS Systems</t>
        </is>
      </c>
      <c r="D111" s="12" t="inlineStr">
        <is>
          <t>IOCS</t>
        </is>
      </c>
      <c r="E111" s="13" t="inlineStr">
        <is>
          <t>64082-17</t>
        </is>
      </c>
      <c r="F111" s="14" t="inlineStr">
        <is>
          <t>Developer of a financial transaction management platform designed to simplify financial transactions. The company's financial platform offers a modular, end-to-end cloud-based SaaS that incorporates all the components necessary to facilitate the automated, inter-party execution of complex agreements by delivering increased sales, reduced costs, better evidence, improved compliance and reduced risk.</t>
        </is>
      </c>
      <c r="G111" s="15" t="inlineStr">
        <is>
          <t>Information Technology</t>
        </is>
      </c>
      <c r="H111" s="16" t="inlineStr">
        <is>
          <t>IT Services</t>
        </is>
      </c>
      <c r="I111" s="17" t="inlineStr">
        <is>
          <t>Other IT Services</t>
        </is>
      </c>
      <c r="J111" s="18" t="inlineStr">
        <is>
          <t>Other IT Services*; Business/Productivity Software; Financial Software</t>
        </is>
      </c>
      <c r="K111" s="19" t="inlineStr">
        <is>
          <t>FinTech, SaaS</t>
        </is>
      </c>
      <c r="L111" s="20" t="inlineStr">
        <is>
          <t>Venture Capital-Backed</t>
        </is>
      </c>
      <c r="M111" s="21" t="n">
        <v>16.07</v>
      </c>
      <c r="N111" s="22" t="inlineStr">
        <is>
          <t>Generating Revenue</t>
        </is>
      </c>
      <c r="O111" s="23" t="inlineStr">
        <is>
          <t>Privately Held (backing)</t>
        </is>
      </c>
      <c r="P111" s="24" t="inlineStr">
        <is>
          <t>Venture Capital</t>
        </is>
      </c>
      <c r="Q111" s="25" t="inlineStr">
        <is>
          <t>www.dealflo.com</t>
        </is>
      </c>
      <c r="R111" s="26" t="n">
        <v>60.0</v>
      </c>
      <c r="S111" s="27" t="inlineStr">
        <is>
          <t/>
        </is>
      </c>
      <c r="T111" s="28" t="inlineStr">
        <is>
          <t/>
        </is>
      </c>
      <c r="U111" s="29" t="n">
        <v>2008.0</v>
      </c>
      <c r="V111" s="30" t="inlineStr">
        <is>
          <t/>
        </is>
      </c>
      <c r="W111" s="31" t="inlineStr">
        <is>
          <t/>
        </is>
      </c>
      <c r="X111" s="32" t="inlineStr">
        <is>
          <t/>
        </is>
      </c>
      <c r="Y111" s="33" t="n">
        <v>4.55323</v>
      </c>
      <c r="Z111" s="34" t="n">
        <v>3.38647</v>
      </c>
      <c r="AA111" s="35" t="inlineStr">
        <is>
          <t/>
        </is>
      </c>
      <c r="AB111" s="36" t="inlineStr">
        <is>
          <t/>
        </is>
      </c>
      <c r="AC111" s="37" t="n">
        <v>-3.88922</v>
      </c>
      <c r="AD111" s="38" t="inlineStr">
        <is>
          <t>FY 2016</t>
        </is>
      </c>
      <c r="AE111" s="39" t="inlineStr">
        <is>
          <t>70229-62P</t>
        </is>
      </c>
      <c r="AF111" s="40" t="inlineStr">
        <is>
          <t>Abraham Smith</t>
        </is>
      </c>
      <c r="AG111" s="41" t="inlineStr">
        <is>
          <t>Founder, Board Member &amp; Chief Executive Officer</t>
        </is>
      </c>
      <c r="AH111" s="42" t="inlineStr">
        <is>
          <t>abe.smith@iocs-systems.com</t>
        </is>
      </c>
      <c r="AI111" s="43" t="inlineStr">
        <is>
          <t>+44 (0)87 0295 7948</t>
        </is>
      </c>
      <c r="AJ111" s="44" t="inlineStr">
        <is>
          <t>London, United Kingdom</t>
        </is>
      </c>
      <c r="AK111" s="45" t="inlineStr">
        <is>
          <t>20 Bedford Square</t>
        </is>
      </c>
      <c r="AL111" s="46" t="inlineStr">
        <is>
          <t/>
        </is>
      </c>
      <c r="AM111" s="47" t="inlineStr">
        <is>
          <t>London</t>
        </is>
      </c>
      <c r="AN111" s="48" t="inlineStr">
        <is>
          <t>England</t>
        </is>
      </c>
      <c r="AO111" s="49" t="inlineStr">
        <is>
          <t>WC1B 3HH</t>
        </is>
      </c>
      <c r="AP111" s="50" t="inlineStr">
        <is>
          <t>United Kingdom</t>
        </is>
      </c>
      <c r="AQ111" s="51" t="inlineStr">
        <is>
          <t>+44 (0)87 0295 7948</t>
        </is>
      </c>
      <c r="AR111" s="52" t="inlineStr">
        <is>
          <t/>
        </is>
      </c>
      <c r="AS111" s="53" t="inlineStr">
        <is>
          <t>info@iocs-systems.com</t>
        </is>
      </c>
      <c r="AT111" s="54" t="inlineStr">
        <is>
          <t>Europe</t>
        </is>
      </c>
      <c r="AU111" s="55" t="inlineStr">
        <is>
          <t>Western Europe</t>
        </is>
      </c>
      <c r="AV111" s="56" t="inlineStr">
        <is>
          <t>The company raised GBP 10 million of Series B venture funding in a deal led by Holtzbrinck Ventures on February 27, 2017, putting the pre-money valuation at GBP 34.78 million. Notion Capital and Frog Capital also participated in the round. The funding will be used to expand its commercial operations into new sectors and geographies, as well as invest in its innovative product roadmap.</t>
        </is>
      </c>
      <c r="AW111" s="57" t="inlineStr">
        <is>
          <t>Frog Capital, Holtzbrinck Ventures, Notion Capital, Shane Happach</t>
        </is>
      </c>
      <c r="AX111" s="58" t="n">
        <v>4.0</v>
      </c>
      <c r="AY111" s="59" t="inlineStr">
        <is>
          <t/>
        </is>
      </c>
      <c r="AZ111" s="60" t="inlineStr">
        <is>
          <t/>
        </is>
      </c>
      <c r="BA111" s="61" t="inlineStr">
        <is>
          <t/>
        </is>
      </c>
      <c r="BB111" s="62" t="inlineStr">
        <is>
          <t>Frog Capital (www.frogcapital.com), Holtzbrinck Ventures (www.holtzbrinck-ventures.com), Notion Capital (www.notioncapital.com)</t>
        </is>
      </c>
      <c r="BC111" s="63" t="inlineStr">
        <is>
          <t/>
        </is>
      </c>
      <c r="BD111" s="64" t="inlineStr">
        <is>
          <t/>
        </is>
      </c>
      <c r="BE111" s="65" t="inlineStr">
        <is>
          <t>PKF Littlejohn (Auditor), Kemp Little (Legal Advisor)</t>
        </is>
      </c>
      <c r="BF111" s="66" t="inlineStr">
        <is>
          <t>Kemp Little (Legal Advisor)</t>
        </is>
      </c>
      <c r="BG111" s="67" t="n">
        <v>41808.0</v>
      </c>
      <c r="BH111" s="68" t="n">
        <v>4.35</v>
      </c>
      <c r="BI111" s="69" t="inlineStr">
        <is>
          <t>Actual</t>
        </is>
      </c>
      <c r="BJ111" s="70" t="n">
        <v>17.86</v>
      </c>
      <c r="BK111" s="71" t="inlineStr">
        <is>
          <t>Actual</t>
        </is>
      </c>
      <c r="BL111" s="72" t="inlineStr">
        <is>
          <t>Later Stage VC</t>
        </is>
      </c>
      <c r="BM111" s="73" t="inlineStr">
        <is>
          <t>Series A</t>
        </is>
      </c>
      <c r="BN111" s="74" t="inlineStr">
        <is>
          <t/>
        </is>
      </c>
      <c r="BO111" s="75" t="inlineStr">
        <is>
          <t>Venture Capital</t>
        </is>
      </c>
      <c r="BP111" s="76" t="inlineStr">
        <is>
          <t>Convertible Debt</t>
        </is>
      </c>
      <c r="BQ111" s="77" t="inlineStr">
        <is>
          <t/>
        </is>
      </c>
      <c r="BR111" s="78" t="inlineStr">
        <is>
          <t/>
        </is>
      </c>
      <c r="BS111" s="79" t="inlineStr">
        <is>
          <t>Completed</t>
        </is>
      </c>
      <c r="BT111" s="80" t="n">
        <v>42793.0</v>
      </c>
      <c r="BU111" s="81" t="n">
        <v>11.72</v>
      </c>
      <c r="BV111" s="82" t="inlineStr">
        <is>
          <t>Actual</t>
        </is>
      </c>
      <c r="BW111" s="83" t="n">
        <v>40.76</v>
      </c>
      <c r="BX111" s="84" t="inlineStr">
        <is>
          <t>Actual</t>
        </is>
      </c>
      <c r="BY111" s="85" t="inlineStr">
        <is>
          <t>Later Stage VC</t>
        </is>
      </c>
      <c r="BZ111" s="86" t="inlineStr">
        <is>
          <t>Series B</t>
        </is>
      </c>
      <c r="CA111" s="87" t="inlineStr">
        <is>
          <t/>
        </is>
      </c>
      <c r="CB111" s="88" t="inlineStr">
        <is>
          <t>Venture Capital</t>
        </is>
      </c>
      <c r="CC111" s="89" t="inlineStr">
        <is>
          <t/>
        </is>
      </c>
      <c r="CD111" s="90" t="inlineStr">
        <is>
          <t/>
        </is>
      </c>
      <c r="CE111" s="91" t="inlineStr">
        <is>
          <t/>
        </is>
      </c>
      <c r="CF111" s="92" t="inlineStr">
        <is>
          <t>Completed</t>
        </is>
      </c>
      <c r="CG111" s="93" t="inlineStr">
        <is>
          <t>0,17%</t>
        </is>
      </c>
      <c r="CH111" s="94" t="inlineStr">
        <is>
          <t>86</t>
        </is>
      </c>
      <c r="CI111" s="95" t="inlineStr">
        <is>
          <t>-0,16%</t>
        </is>
      </c>
      <c r="CJ111" s="96" t="inlineStr">
        <is>
          <t>-49,39%</t>
        </is>
      </c>
      <c r="CK111" s="97" t="inlineStr">
        <is>
          <t>0,00%</t>
        </is>
      </c>
      <c r="CL111" s="98" t="inlineStr">
        <is>
          <t>28</t>
        </is>
      </c>
      <c r="CM111" s="99" t="inlineStr">
        <is>
          <t>0,33%</t>
        </is>
      </c>
      <c r="CN111" s="100" t="inlineStr">
        <is>
          <t>82</t>
        </is>
      </c>
      <c r="CO111" s="101" t="inlineStr">
        <is>
          <t>0,00%</t>
        </is>
      </c>
      <c r="CP111" s="102" t="inlineStr">
        <is>
          <t>37</t>
        </is>
      </c>
      <c r="CQ111" s="103" t="inlineStr">
        <is>
          <t/>
        </is>
      </c>
      <c r="CR111" s="104" t="inlineStr">
        <is>
          <t/>
        </is>
      </c>
      <c r="CS111" s="105" t="inlineStr">
        <is>
          <t/>
        </is>
      </c>
      <c r="CT111" s="106" t="inlineStr">
        <is>
          <t/>
        </is>
      </c>
      <c r="CU111" s="107" t="inlineStr">
        <is>
          <t>0,33%</t>
        </is>
      </c>
      <c r="CV111" s="108" t="inlineStr">
        <is>
          <t>85</t>
        </is>
      </c>
      <c r="CW111" s="109" t="inlineStr">
        <is>
          <t>0,31x</t>
        </is>
      </c>
      <c r="CX111" s="110" t="inlineStr">
        <is>
          <t>23</t>
        </is>
      </c>
      <c r="CY111" s="111" t="inlineStr">
        <is>
          <t>0,00x</t>
        </is>
      </c>
      <c r="CZ111" s="112" t="inlineStr">
        <is>
          <t>-1,56%</t>
        </is>
      </c>
      <c r="DA111" s="113" t="inlineStr">
        <is>
          <t>0,21x</t>
        </is>
      </c>
      <c r="DB111" s="114" t="inlineStr">
        <is>
          <t>19</t>
        </is>
      </c>
      <c r="DC111" s="115" t="inlineStr">
        <is>
          <t>0,42x</t>
        </is>
      </c>
      <c r="DD111" s="116" t="inlineStr">
        <is>
          <t>32</t>
        </is>
      </c>
      <c r="DE111" s="117" t="inlineStr">
        <is>
          <t>0,21x</t>
        </is>
      </c>
      <c r="DF111" s="118" t="inlineStr">
        <is>
          <t>15</t>
        </is>
      </c>
      <c r="DG111" s="119" t="inlineStr">
        <is>
          <t/>
        </is>
      </c>
      <c r="DH111" s="120" t="inlineStr">
        <is>
          <t/>
        </is>
      </c>
      <c r="DI111" s="121" t="inlineStr">
        <is>
          <t/>
        </is>
      </c>
      <c r="DJ111" s="122" t="inlineStr">
        <is>
          <t/>
        </is>
      </c>
      <c r="DK111" s="123" t="inlineStr">
        <is>
          <t>0,42x</t>
        </is>
      </c>
      <c r="DL111" s="124" t="inlineStr">
        <is>
          <t>35</t>
        </is>
      </c>
      <c r="DM111" s="125" t="inlineStr">
        <is>
          <t>92</t>
        </is>
      </c>
      <c r="DN111" s="126" t="inlineStr">
        <is>
          <t>-42</t>
        </is>
      </c>
      <c r="DO111" s="127" t="inlineStr">
        <is>
          <t>-31,34%</t>
        </is>
      </c>
      <c r="DP111" s="128" t="inlineStr">
        <is>
          <t/>
        </is>
      </c>
      <c r="DQ111" s="129" t="inlineStr">
        <is>
          <t/>
        </is>
      </c>
      <c r="DR111" s="130" t="inlineStr">
        <is>
          <t/>
        </is>
      </c>
      <c r="DS111" s="131" t="inlineStr">
        <is>
          <t/>
        </is>
      </c>
      <c r="DT111" s="132" t="inlineStr">
        <is>
          <t/>
        </is>
      </c>
      <c r="DU111" s="133" t="inlineStr">
        <is>
          <t/>
        </is>
      </c>
      <c r="DV111" s="134" t="inlineStr">
        <is>
          <t>156</t>
        </is>
      </c>
      <c r="DW111" s="135" t="inlineStr">
        <is>
          <t>-2</t>
        </is>
      </c>
      <c r="DX111" s="136" t="inlineStr">
        <is>
          <t>-1,27%</t>
        </is>
      </c>
      <c r="DY111" s="137" t="inlineStr">
        <is>
          <t>PitchBook Research</t>
        </is>
      </c>
      <c r="DZ111" s="785">
        <f>HYPERLINK("https://my.pitchbook.com?c=64082-17", "View company online")</f>
      </c>
    </row>
    <row r="112">
      <c r="A112" s="139" t="inlineStr">
        <is>
          <t>100655-56</t>
        </is>
      </c>
      <c r="B112" s="140" t="inlineStr">
        <is>
          <t>InterCloud</t>
        </is>
      </c>
      <c r="C112" s="141" t="inlineStr">
        <is>
          <t/>
        </is>
      </c>
      <c r="D112" s="142" t="inlineStr">
        <is>
          <t/>
        </is>
      </c>
      <c r="E112" s="143" t="inlineStr">
        <is>
          <t>100655-56</t>
        </is>
      </c>
      <c r="F112" s="144" t="inlineStr">
        <is>
          <t>Provider of enterprise cloud application designed to deliver corporate data anywhere. The company's enterprise cloud application offers a delivery platform that makes cloud resources available as an extension of its internal IT infrastructure, enabling IT organizations to shape the right connectivity for the cloud while addressing security, performance and flexibility issues.</t>
        </is>
      </c>
      <c r="G112" s="145" t="inlineStr">
        <is>
          <t>Information Technology</t>
        </is>
      </c>
      <c r="H112" s="146" t="inlineStr">
        <is>
          <t>Software</t>
        </is>
      </c>
      <c r="I112" s="147" t="inlineStr">
        <is>
          <t>Business/Productivity Software</t>
        </is>
      </c>
      <c r="J112" s="148" t="inlineStr">
        <is>
          <t>Business/Productivity Software*; Application Software; Database Software</t>
        </is>
      </c>
      <c r="K112" s="149" t="inlineStr">
        <is>
          <t>SaaS</t>
        </is>
      </c>
      <c r="L112" s="150" t="inlineStr">
        <is>
          <t>Venture Capital-Backed</t>
        </is>
      </c>
      <c r="M112" s="151" t="n">
        <v>16.0</v>
      </c>
      <c r="N112" s="152" t="inlineStr">
        <is>
          <t>Generating Revenue</t>
        </is>
      </c>
      <c r="O112" s="153" t="inlineStr">
        <is>
          <t>Privately Held (backing)</t>
        </is>
      </c>
      <c r="P112" s="154" t="inlineStr">
        <is>
          <t>Venture Capital</t>
        </is>
      </c>
      <c r="Q112" s="155" t="inlineStr">
        <is>
          <t>www.intercloud.com</t>
        </is>
      </c>
      <c r="R112" s="156" t="n">
        <v>13.0</v>
      </c>
      <c r="S112" s="157" t="inlineStr">
        <is>
          <t/>
        </is>
      </c>
      <c r="T112" s="158" t="inlineStr">
        <is>
          <t/>
        </is>
      </c>
      <c r="U112" s="159" t="n">
        <v>2010.0</v>
      </c>
      <c r="V112" s="160" t="inlineStr">
        <is>
          <t/>
        </is>
      </c>
      <c r="W112" s="161" t="inlineStr">
        <is>
          <t/>
        </is>
      </c>
      <c r="X112" s="162" t="inlineStr">
        <is>
          <t/>
        </is>
      </c>
      <c r="Y112" s="163" t="n">
        <v>2.34276</v>
      </c>
      <c r="Z112" s="164" t="inlineStr">
        <is>
          <t/>
        </is>
      </c>
      <c r="AA112" s="165" t="inlineStr">
        <is>
          <t/>
        </is>
      </c>
      <c r="AB112" s="166" t="inlineStr">
        <is>
          <t/>
        </is>
      </c>
      <c r="AC112" s="167" t="inlineStr">
        <is>
          <t/>
        </is>
      </c>
      <c r="AD112" s="168" t="inlineStr">
        <is>
          <t>FY 2015</t>
        </is>
      </c>
      <c r="AE112" s="169" t="inlineStr">
        <is>
          <t>89280-73P</t>
        </is>
      </c>
      <c r="AF112" s="170" t="inlineStr">
        <is>
          <t>Antoine Valat</t>
        </is>
      </c>
      <c r="AG112" s="171" t="inlineStr">
        <is>
          <t>General Manager &amp; Co-Founder</t>
        </is>
      </c>
      <c r="AH112" s="172" t="inlineStr">
        <is>
          <t>antoine.valat@intercloud.fr</t>
        </is>
      </c>
      <c r="AI112" s="173" t="inlineStr">
        <is>
          <t>+33 (0)1 81 80 26 00</t>
        </is>
      </c>
      <c r="AJ112" s="174" t="inlineStr">
        <is>
          <t>Paris, France</t>
        </is>
      </c>
      <c r="AK112" s="175" t="inlineStr">
        <is>
          <t>88-90 Boulevard de Sébastopol</t>
        </is>
      </c>
      <c r="AL112" s="176" t="inlineStr">
        <is>
          <t/>
        </is>
      </c>
      <c r="AM112" s="177" t="inlineStr">
        <is>
          <t>Paris</t>
        </is>
      </c>
      <c r="AN112" s="178" t="inlineStr">
        <is>
          <t/>
        </is>
      </c>
      <c r="AO112" s="179" t="inlineStr">
        <is>
          <t>75003</t>
        </is>
      </c>
      <c r="AP112" s="180" t="inlineStr">
        <is>
          <t>France</t>
        </is>
      </c>
      <c r="AQ112" s="181" t="inlineStr">
        <is>
          <t>+33 (0)1 81 80 26 00</t>
        </is>
      </c>
      <c r="AR112" s="182" t="inlineStr">
        <is>
          <t>+33 (0)9 72 22 34 63</t>
        </is>
      </c>
      <c r="AS112" s="183" t="inlineStr">
        <is>
          <t>contact@fr.intercloud.com</t>
        </is>
      </c>
      <c r="AT112" s="184" t="inlineStr">
        <is>
          <t>Europe</t>
        </is>
      </c>
      <c r="AU112" s="185" t="inlineStr">
        <is>
          <t>Western Europe</t>
        </is>
      </c>
      <c r="AV112" s="186" t="inlineStr">
        <is>
          <t>The company raised EUR 10 million of venture funding from Bpifrance, Hi Inov and Ventech on March 9, 2017. CapHorn Invest and Guy Lacroix also participated in the round. The company will use the funds for its development in Europe, particularly in England, Belgium and Switzerland.</t>
        </is>
      </c>
      <c r="AW112" s="187" t="inlineStr">
        <is>
          <t>Bpifrance, CapHorn Invest, Guy Lacroix, Hi Inov, Individual Investor, Riverbed Technology, Ventech</t>
        </is>
      </c>
      <c r="AX112" s="188" t="n">
        <v>7.0</v>
      </c>
      <c r="AY112" s="189" t="inlineStr">
        <is>
          <t/>
        </is>
      </c>
      <c r="AZ112" s="190" t="inlineStr">
        <is>
          <t/>
        </is>
      </c>
      <c r="BA112" s="191" t="inlineStr">
        <is>
          <t/>
        </is>
      </c>
      <c r="BB112" s="192" t="inlineStr">
        <is>
          <t>Bpifrance (www.bpifrance.fr), CapHorn Invest (www.caphorninvest.fr), Hi Inov (www.hiinov.com), Riverbed Technology (www.riverbed.com), Ventech (www.ventechvc.com)</t>
        </is>
      </c>
      <c r="BC112" s="193" t="inlineStr">
        <is>
          <t/>
        </is>
      </c>
      <c r="BD112" s="194" t="inlineStr">
        <is>
          <t/>
        </is>
      </c>
      <c r="BE112" s="195" t="inlineStr">
        <is>
          <t/>
        </is>
      </c>
      <c r="BF112" s="196" t="inlineStr">
        <is>
          <t>LD&amp;A Jupiter (Advisor: General), Drake Star Partners (Advisor: General)</t>
        </is>
      </c>
      <c r="BG112" s="197" t="inlineStr">
        <is>
          <t/>
        </is>
      </c>
      <c r="BH112" s="198" t="n">
        <v>1.0</v>
      </c>
      <c r="BI112" s="199" t="inlineStr">
        <is>
          <t>Actual</t>
        </is>
      </c>
      <c r="BJ112" s="200" t="inlineStr">
        <is>
          <t/>
        </is>
      </c>
      <c r="BK112" s="201" t="inlineStr">
        <is>
          <t/>
        </is>
      </c>
      <c r="BL112" s="202" t="inlineStr">
        <is>
          <t>Angel (individual)</t>
        </is>
      </c>
      <c r="BM112" s="203" t="inlineStr">
        <is>
          <t>Angel</t>
        </is>
      </c>
      <c r="BN112" s="204" t="inlineStr">
        <is>
          <t/>
        </is>
      </c>
      <c r="BO112" s="205" t="inlineStr">
        <is>
          <t>Individual</t>
        </is>
      </c>
      <c r="BP112" s="206" t="inlineStr">
        <is>
          <t/>
        </is>
      </c>
      <c r="BQ112" s="207" t="inlineStr">
        <is>
          <t/>
        </is>
      </c>
      <c r="BR112" s="208" t="inlineStr">
        <is>
          <t/>
        </is>
      </c>
      <c r="BS112" s="209" t="inlineStr">
        <is>
          <t>Completed</t>
        </is>
      </c>
      <c r="BT112" s="210" t="n">
        <v>42803.0</v>
      </c>
      <c r="BU112" s="211" t="n">
        <v>10.0</v>
      </c>
      <c r="BV112" s="212" t="inlineStr">
        <is>
          <t>Actual</t>
        </is>
      </c>
      <c r="BW112" s="213" t="inlineStr">
        <is>
          <t/>
        </is>
      </c>
      <c r="BX112" s="214" t="inlineStr">
        <is>
          <t/>
        </is>
      </c>
      <c r="BY112" s="215" t="inlineStr">
        <is>
          <t>Later Stage VC</t>
        </is>
      </c>
      <c r="BZ112" s="216" t="inlineStr">
        <is>
          <t/>
        </is>
      </c>
      <c r="CA112" s="217" t="inlineStr">
        <is>
          <t/>
        </is>
      </c>
      <c r="CB112" s="218" t="inlineStr">
        <is>
          <t>Venture Capital</t>
        </is>
      </c>
      <c r="CC112" s="219" t="inlineStr">
        <is>
          <t/>
        </is>
      </c>
      <c r="CD112" s="220" t="inlineStr">
        <is>
          <t/>
        </is>
      </c>
      <c r="CE112" s="221" t="inlineStr">
        <is>
          <t/>
        </is>
      </c>
      <c r="CF112" s="222" t="inlineStr">
        <is>
          <t>Completed</t>
        </is>
      </c>
      <c r="CG112" s="223" t="inlineStr">
        <is>
          <t>0,10%</t>
        </is>
      </c>
      <c r="CH112" s="224" t="inlineStr">
        <is>
          <t>82</t>
        </is>
      </c>
      <c r="CI112" s="225" t="inlineStr">
        <is>
          <t>0,00%</t>
        </is>
      </c>
      <c r="CJ112" s="226" t="inlineStr">
        <is>
          <t>-4,47%</t>
        </is>
      </c>
      <c r="CK112" s="227" t="inlineStr">
        <is>
          <t>0,00%</t>
        </is>
      </c>
      <c r="CL112" s="228" t="inlineStr">
        <is>
          <t>28</t>
        </is>
      </c>
      <c r="CM112" s="229" t="inlineStr">
        <is>
          <t>0,20%</t>
        </is>
      </c>
      <c r="CN112" s="230" t="inlineStr">
        <is>
          <t>71</t>
        </is>
      </c>
      <c r="CO112" s="231" t="inlineStr">
        <is>
          <t>0,00%</t>
        </is>
      </c>
      <c r="CP112" s="232" t="inlineStr">
        <is>
          <t>37</t>
        </is>
      </c>
      <c r="CQ112" s="233" t="inlineStr">
        <is>
          <t>0,00%</t>
        </is>
      </c>
      <c r="CR112" s="234" t="inlineStr">
        <is>
          <t>20</t>
        </is>
      </c>
      <c r="CS112" s="235" t="inlineStr">
        <is>
          <t/>
        </is>
      </c>
      <c r="CT112" s="236" t="inlineStr">
        <is>
          <t/>
        </is>
      </c>
      <c r="CU112" s="237" t="inlineStr">
        <is>
          <t>0,20%</t>
        </is>
      </c>
      <c r="CV112" s="238" t="inlineStr">
        <is>
          <t>76</t>
        </is>
      </c>
      <c r="CW112" s="239" t="inlineStr">
        <is>
          <t>2,85x</t>
        </is>
      </c>
      <c r="CX112" s="240" t="inlineStr">
        <is>
          <t>71</t>
        </is>
      </c>
      <c r="CY112" s="241" t="inlineStr">
        <is>
          <t>-0,03x</t>
        </is>
      </c>
      <c r="CZ112" s="242" t="inlineStr">
        <is>
          <t>-0,94%</t>
        </is>
      </c>
      <c r="DA112" s="243" t="inlineStr">
        <is>
          <t>1,75x</t>
        </is>
      </c>
      <c r="DB112" s="244" t="inlineStr">
        <is>
          <t>64</t>
        </is>
      </c>
      <c r="DC112" s="245" t="inlineStr">
        <is>
          <t>3,95x</t>
        </is>
      </c>
      <c r="DD112" s="246" t="inlineStr">
        <is>
          <t>73</t>
        </is>
      </c>
      <c r="DE112" s="247" t="inlineStr">
        <is>
          <t>1,13x</t>
        </is>
      </c>
      <c r="DF112" s="248" t="inlineStr">
        <is>
          <t>53</t>
        </is>
      </c>
      <c r="DG112" s="249" t="inlineStr">
        <is>
          <t>2,36x</t>
        </is>
      </c>
      <c r="DH112" s="250" t="inlineStr">
        <is>
          <t>68</t>
        </is>
      </c>
      <c r="DI112" s="251" t="inlineStr">
        <is>
          <t/>
        </is>
      </c>
      <c r="DJ112" s="252" t="inlineStr">
        <is>
          <t/>
        </is>
      </c>
      <c r="DK112" s="253" t="inlineStr">
        <is>
          <t>3,95x</t>
        </is>
      </c>
      <c r="DL112" s="254" t="inlineStr">
        <is>
          <t>75</t>
        </is>
      </c>
      <c r="DM112" s="255" t="inlineStr">
        <is>
          <t>420</t>
        </is>
      </c>
      <c r="DN112" s="256" t="inlineStr">
        <is>
          <t>3</t>
        </is>
      </c>
      <c r="DO112" s="257" t="inlineStr">
        <is>
          <t>0,72%</t>
        </is>
      </c>
      <c r="DP112" s="258" t="inlineStr">
        <is>
          <t/>
        </is>
      </c>
      <c r="DQ112" s="259" t="inlineStr">
        <is>
          <t/>
        </is>
      </c>
      <c r="DR112" s="260" t="inlineStr">
        <is>
          <t/>
        </is>
      </c>
      <c r="DS112" s="261" t="inlineStr">
        <is>
          <t>85</t>
        </is>
      </c>
      <c r="DT112" s="262" t="inlineStr">
        <is>
          <t>-1</t>
        </is>
      </c>
      <c r="DU112" s="263" t="inlineStr">
        <is>
          <t>-1,16%</t>
        </is>
      </c>
      <c r="DV112" s="264" t="inlineStr">
        <is>
          <t>1.478</t>
        </is>
      </c>
      <c r="DW112" s="265" t="inlineStr">
        <is>
          <t>4</t>
        </is>
      </c>
      <c r="DX112" s="266" t="inlineStr">
        <is>
          <t>0,27%</t>
        </is>
      </c>
      <c r="DY112" s="267" t="inlineStr">
        <is>
          <t>PitchBook Research</t>
        </is>
      </c>
      <c r="DZ112" s="786">
        <f>HYPERLINK("https://my.pitchbook.com?c=100655-56", "View company online")</f>
      </c>
    </row>
    <row r="113">
      <c r="A113" s="9" t="inlineStr">
        <is>
          <t>96050-62</t>
        </is>
      </c>
      <c r="B113" s="10" t="inlineStr">
        <is>
          <t>Famoco</t>
        </is>
      </c>
      <c r="C113" s="11" t="inlineStr">
        <is>
          <t>Cell Idea International</t>
        </is>
      </c>
      <c r="D113" s="12" t="inlineStr">
        <is>
          <t/>
        </is>
      </c>
      <c r="E113" s="13" t="inlineStr">
        <is>
          <t>96050-62</t>
        </is>
      </c>
      <c r="F113" s="14" t="inlineStr">
        <is>
          <t>Provider of enterprise-grade android near field communication (NFS) devices designed to manage B2B devices. The company's enterprise-grade android near field communication (NFS) devices can be used for large-scale deployments, enabling its B2B customers to limit the risk of theft and ensure traceability.</t>
        </is>
      </c>
      <c r="G113" s="15" t="inlineStr">
        <is>
          <t>Information Technology</t>
        </is>
      </c>
      <c r="H113" s="16" t="inlineStr">
        <is>
          <t>Software</t>
        </is>
      </c>
      <c r="I113" s="17" t="inlineStr">
        <is>
          <t>Network Management Software</t>
        </is>
      </c>
      <c r="J113" s="18" t="inlineStr">
        <is>
          <t>Network Management Software*; Other Communications and Networking; Business/Productivity Software</t>
        </is>
      </c>
      <c r="K113" s="19" t="inlineStr">
        <is>
          <t>Internet of Things, Mobile</t>
        </is>
      </c>
      <c r="L113" s="20" t="inlineStr">
        <is>
          <t>Venture Capital-Backed</t>
        </is>
      </c>
      <c r="M113" s="21" t="n">
        <v>15.93</v>
      </c>
      <c r="N113" s="22" t="inlineStr">
        <is>
          <t>Generating Revenue</t>
        </is>
      </c>
      <c r="O113" s="23" t="inlineStr">
        <is>
          <t>Privately Held (backing)</t>
        </is>
      </c>
      <c r="P113" s="24" t="inlineStr">
        <is>
          <t>Venture Capital</t>
        </is>
      </c>
      <c r="Q113" s="25" t="inlineStr">
        <is>
          <t>www.famoco.com</t>
        </is>
      </c>
      <c r="R113" s="26" t="n">
        <v>50.0</v>
      </c>
      <c r="S113" s="27" t="inlineStr">
        <is>
          <t/>
        </is>
      </c>
      <c r="T113" s="28" t="inlineStr">
        <is>
          <t/>
        </is>
      </c>
      <c r="U113" s="29" t="n">
        <v>2010.0</v>
      </c>
      <c r="V113" s="30" t="inlineStr">
        <is>
          <t/>
        </is>
      </c>
      <c r="W113" s="31" t="inlineStr">
        <is>
          <t/>
        </is>
      </c>
      <c r="X113" s="32" t="inlineStr">
        <is>
          <t/>
        </is>
      </c>
      <c r="Y113" s="33" t="n">
        <v>3.05937</v>
      </c>
      <c r="Z113" s="34" t="inlineStr">
        <is>
          <t/>
        </is>
      </c>
      <c r="AA113" s="35" t="inlineStr">
        <is>
          <t/>
        </is>
      </c>
      <c r="AB113" s="36" t="inlineStr">
        <is>
          <t/>
        </is>
      </c>
      <c r="AC113" s="37" t="inlineStr">
        <is>
          <t/>
        </is>
      </c>
      <c r="AD113" s="38" t="inlineStr">
        <is>
          <t>FY 2015</t>
        </is>
      </c>
      <c r="AE113" s="39" t="inlineStr">
        <is>
          <t>95859-82P</t>
        </is>
      </c>
      <c r="AF113" s="40" t="inlineStr">
        <is>
          <t>Lionel Baraban</t>
        </is>
      </c>
      <c r="AG113" s="41" t="inlineStr">
        <is>
          <t>Chief Executive Officer &amp; Co-Founder</t>
        </is>
      </c>
      <c r="AH113" s="42" t="inlineStr">
        <is>
          <t>lionel.baraban@famoco.com</t>
        </is>
      </c>
      <c r="AI113" s="43" t="inlineStr">
        <is>
          <t>+33 (0)9 72 39 53 85</t>
        </is>
      </c>
      <c r="AJ113" s="44" t="inlineStr">
        <is>
          <t>Paris, France</t>
        </is>
      </c>
      <c r="AK113" s="45" t="inlineStr">
        <is>
          <t>59 Avenue Victor Hugo</t>
        </is>
      </c>
      <c r="AL113" s="46" t="inlineStr">
        <is>
          <t/>
        </is>
      </c>
      <c r="AM113" s="47" t="inlineStr">
        <is>
          <t>Paris</t>
        </is>
      </c>
      <c r="AN113" s="48" t="inlineStr">
        <is>
          <t/>
        </is>
      </c>
      <c r="AO113" s="49" t="inlineStr">
        <is>
          <t>75116</t>
        </is>
      </c>
      <c r="AP113" s="50" t="inlineStr">
        <is>
          <t>France</t>
        </is>
      </c>
      <c r="AQ113" s="51" t="inlineStr">
        <is>
          <t>+33 (0)9 72 39 53 85</t>
        </is>
      </c>
      <c r="AR113" s="52" t="inlineStr">
        <is>
          <t/>
        </is>
      </c>
      <c r="AS113" s="53" t="inlineStr">
        <is>
          <t>contact@famoco.com</t>
        </is>
      </c>
      <c r="AT113" s="54" t="inlineStr">
        <is>
          <t>Europe</t>
        </is>
      </c>
      <c r="AU113" s="55" t="inlineStr">
        <is>
          <t>Western Europe</t>
        </is>
      </c>
      <c r="AV113" s="56" t="inlineStr">
        <is>
          <t>The company raised EUR 11 million of venture funding in a deal led by IDInvest Partners on February 20, 2017. Orange Digital Ventures, Société Nationale des Chemins de fer Français, BNP Paribas, Hi Inov, Bpifrance and Aurinvest also participated in the round. The company will use the funds to meet growing international demand for transactional solutions in the fields of cashless payment, transportation, smart city as well as the digital transformation in mobility faced by large corporations. Also, the company plans to utilize the funds by recruiting new people, opening new offices in Europe, Middle-East, Asia, USA and Africa, and expanding adoption of its solutions. Previously, the company joined Orange Fab on February 29, 2016, and received $20,000 in convertible debt funding.</t>
        </is>
      </c>
      <c r="AW113" s="57" t="inlineStr">
        <is>
          <t>Aurinvest, BNP Paribas, Bpifrance, FastForward Innovations, Hi Inov, IdInvest Partners, Impact USA, Orange Digital Ventures, Orange Fab, Société Nationale des Chemins de fer Français</t>
        </is>
      </c>
      <c r="AX113" s="58" t="n">
        <v>10.0</v>
      </c>
      <c r="AY113" s="59" t="inlineStr">
        <is>
          <t/>
        </is>
      </c>
      <c r="AZ113" s="60" t="inlineStr">
        <is>
          <t/>
        </is>
      </c>
      <c r="BA113" s="61" t="inlineStr">
        <is>
          <t/>
        </is>
      </c>
      <c r="BB113" s="62" t="inlineStr">
        <is>
          <t>Aurinvest (www.aurinvest.com), BNP Paribas (www.group.bnpparibas), Bpifrance (www.bpifrance.fr), FastForward Innovations (www.fstfwd.co), Hi Inov (www.hiinov.com), IdInvest Partners (www.idinvest.com), Impact USA (www.impact-north-america.com), Orange Digital Ventures (www.digitalventures.orange.com), Orange Fab (www.orangefab.com), Société Nationale des Chemins de fer Français (www.sncf.com)</t>
        </is>
      </c>
      <c r="BC113" s="63" t="inlineStr">
        <is>
          <t/>
        </is>
      </c>
      <c r="BD113" s="64" t="inlineStr">
        <is>
          <t/>
        </is>
      </c>
      <c r="BE113" s="65" t="inlineStr">
        <is>
          <t/>
        </is>
      </c>
      <c r="BF113" s="66" t="inlineStr">
        <is>
          <t/>
        </is>
      </c>
      <c r="BG113" s="67" t="n">
        <v>41575.0</v>
      </c>
      <c r="BH113" s="68" t="n">
        <v>0.73</v>
      </c>
      <c r="BI113" s="69" t="inlineStr">
        <is>
          <t>Actual</t>
        </is>
      </c>
      <c r="BJ113" s="70" t="inlineStr">
        <is>
          <t/>
        </is>
      </c>
      <c r="BK113" s="71" t="inlineStr">
        <is>
          <t/>
        </is>
      </c>
      <c r="BL113" s="72" t="inlineStr">
        <is>
          <t>Early Stage VC</t>
        </is>
      </c>
      <c r="BM113" s="73" t="inlineStr">
        <is>
          <t/>
        </is>
      </c>
      <c r="BN113" s="74" t="inlineStr">
        <is>
          <t/>
        </is>
      </c>
      <c r="BO113" s="75" t="inlineStr">
        <is>
          <t>Venture Capital</t>
        </is>
      </c>
      <c r="BP113" s="76" t="inlineStr">
        <is>
          <t/>
        </is>
      </c>
      <c r="BQ113" s="77" t="inlineStr">
        <is>
          <t/>
        </is>
      </c>
      <c r="BR113" s="78" t="inlineStr">
        <is>
          <t/>
        </is>
      </c>
      <c r="BS113" s="79" t="inlineStr">
        <is>
          <t>Completed</t>
        </is>
      </c>
      <c r="BT113" s="80" t="n">
        <v>42786.0</v>
      </c>
      <c r="BU113" s="81" t="n">
        <v>11.0</v>
      </c>
      <c r="BV113" s="82" t="inlineStr">
        <is>
          <t>Actual</t>
        </is>
      </c>
      <c r="BW113" s="83" t="inlineStr">
        <is>
          <t/>
        </is>
      </c>
      <c r="BX113" s="84" t="inlineStr">
        <is>
          <t/>
        </is>
      </c>
      <c r="BY113" s="85" t="inlineStr">
        <is>
          <t>Later Stage VC</t>
        </is>
      </c>
      <c r="BZ113" s="86" t="inlineStr">
        <is>
          <t/>
        </is>
      </c>
      <c r="CA113" s="87" t="inlineStr">
        <is>
          <t/>
        </is>
      </c>
      <c r="CB113" s="88" t="inlineStr">
        <is>
          <t>Venture Capital</t>
        </is>
      </c>
      <c r="CC113" s="89" t="inlineStr">
        <is>
          <t/>
        </is>
      </c>
      <c r="CD113" s="90" t="inlineStr">
        <is>
          <t/>
        </is>
      </c>
      <c r="CE113" s="91" t="inlineStr">
        <is>
          <t/>
        </is>
      </c>
      <c r="CF113" s="92" t="inlineStr">
        <is>
          <t>Completed</t>
        </is>
      </c>
      <c r="CG113" s="93" t="inlineStr">
        <is>
          <t>-3,86%</t>
        </is>
      </c>
      <c r="CH113" s="94" t="inlineStr">
        <is>
          <t>5</t>
        </is>
      </c>
      <c r="CI113" s="95" t="inlineStr">
        <is>
          <t>0,18%</t>
        </is>
      </c>
      <c r="CJ113" s="96" t="inlineStr">
        <is>
          <t>4,37%</t>
        </is>
      </c>
      <c r="CK113" s="97" t="inlineStr">
        <is>
          <t>-3,86%</t>
        </is>
      </c>
      <c r="CL113" s="98" t="inlineStr">
        <is>
          <t>10</t>
        </is>
      </c>
      <c r="CM113" s="99" t="inlineStr">
        <is>
          <t/>
        </is>
      </c>
      <c r="CN113" s="100" t="inlineStr">
        <is>
          <t/>
        </is>
      </c>
      <c r="CO113" s="101" t="inlineStr">
        <is>
          <t>-13,36%</t>
        </is>
      </c>
      <c r="CP113" s="102" t="inlineStr">
        <is>
          <t>9</t>
        </is>
      </c>
      <c r="CQ113" s="103" t="inlineStr">
        <is>
          <t>5,64%</t>
        </is>
      </c>
      <c r="CR113" s="104" t="inlineStr">
        <is>
          <t>99</t>
        </is>
      </c>
      <c r="CS113" s="105" t="inlineStr">
        <is>
          <t/>
        </is>
      </c>
      <c r="CT113" s="106" t="inlineStr">
        <is>
          <t/>
        </is>
      </c>
      <c r="CU113" s="107" t="inlineStr">
        <is>
          <t/>
        </is>
      </c>
      <c r="CV113" s="108" t="inlineStr">
        <is>
          <t/>
        </is>
      </c>
      <c r="CW113" s="109" t="inlineStr">
        <is>
          <t>5,28x</t>
        </is>
      </c>
      <c r="CX113" s="110" t="inlineStr">
        <is>
          <t>81</t>
        </is>
      </c>
      <c r="CY113" s="111" t="inlineStr">
        <is>
          <t>0,24x</t>
        </is>
      </c>
      <c r="CZ113" s="112" t="inlineStr">
        <is>
          <t>4,68%</t>
        </is>
      </c>
      <c r="DA113" s="113" t="inlineStr">
        <is>
          <t>5,28x</t>
        </is>
      </c>
      <c r="DB113" s="114" t="inlineStr">
        <is>
          <t>82</t>
        </is>
      </c>
      <c r="DC113" s="115" t="inlineStr">
        <is>
          <t/>
        </is>
      </c>
      <c r="DD113" s="116" t="inlineStr">
        <is>
          <t/>
        </is>
      </c>
      <c r="DE113" s="117" t="inlineStr">
        <is>
          <t>0,08x</t>
        </is>
      </c>
      <c r="DF113" s="118" t="inlineStr">
        <is>
          <t>3</t>
        </is>
      </c>
      <c r="DG113" s="119" t="inlineStr">
        <is>
          <t>10,47x</t>
        </is>
      </c>
      <c r="DH113" s="120" t="inlineStr">
        <is>
          <t>88</t>
        </is>
      </c>
      <c r="DI113" s="121" t="inlineStr">
        <is>
          <t/>
        </is>
      </c>
      <c r="DJ113" s="122" t="inlineStr">
        <is>
          <t/>
        </is>
      </c>
      <c r="DK113" s="123" t="inlineStr">
        <is>
          <t/>
        </is>
      </c>
      <c r="DL113" s="124" t="inlineStr">
        <is>
          <t/>
        </is>
      </c>
      <c r="DM113" s="125" t="inlineStr">
        <is>
          <t>249</t>
        </is>
      </c>
      <c r="DN113" s="126" t="inlineStr">
        <is>
          <t>-513</t>
        </is>
      </c>
      <c r="DO113" s="127" t="inlineStr">
        <is>
          <t>-67,32%</t>
        </is>
      </c>
      <c r="DP113" s="128" t="inlineStr">
        <is>
          <t/>
        </is>
      </c>
      <c r="DQ113" s="129" t="inlineStr">
        <is>
          <t/>
        </is>
      </c>
      <c r="DR113" s="130" t="inlineStr">
        <is>
          <t/>
        </is>
      </c>
      <c r="DS113" s="131" t="inlineStr">
        <is>
          <t>369</t>
        </is>
      </c>
      <c r="DT113" s="132" t="inlineStr">
        <is>
          <t>16</t>
        </is>
      </c>
      <c r="DU113" s="133" t="inlineStr">
        <is>
          <t>4,53%</t>
        </is>
      </c>
      <c r="DV113" s="134" t="inlineStr">
        <is>
          <t>781</t>
        </is>
      </c>
      <c r="DW113" s="135" t="inlineStr">
        <is>
          <t>0</t>
        </is>
      </c>
      <c r="DX113" s="136" t="inlineStr">
        <is>
          <t>0,00%</t>
        </is>
      </c>
      <c r="DY113" s="137" t="inlineStr">
        <is>
          <t>PitchBook Research</t>
        </is>
      </c>
      <c r="DZ113" s="785">
        <f>HYPERLINK("https://my.pitchbook.com?c=96050-62", "View company online")</f>
      </c>
    </row>
    <row r="114">
      <c r="A114" s="139" t="inlineStr">
        <is>
          <t>58006-72</t>
        </is>
      </c>
      <c r="B114" s="140" t="inlineStr">
        <is>
          <t>Adbrain</t>
        </is>
      </c>
      <c r="C114" s="141" t="inlineStr">
        <is>
          <t/>
        </is>
      </c>
      <c r="D114" s="142" t="inlineStr">
        <is>
          <t/>
        </is>
      </c>
      <c r="E114" s="143" t="inlineStr">
        <is>
          <t>58006-72</t>
        </is>
      </c>
      <c r="F114" s="144" t="inlineStr">
        <is>
          <t>Developer of a data intelligence platform designed to offer intelligent identity resolution technology to create advanced customer ID maps. The company's data intelligence platform helps users to regain control of their customer relationships as well as creates an actionable single customer view that drives tangible ROI and provides deep insights into how behavior is changing in the world of the Internet of Things (IoT), without infringing on privacy concerns, enabling marketers to understand and engage with their customer across any device, channel and platform, including offline to online, and connected television.</t>
        </is>
      </c>
      <c r="G114" s="145" t="inlineStr">
        <is>
          <t>Business Products and Services (B2B)</t>
        </is>
      </c>
      <c r="H114" s="146" t="inlineStr">
        <is>
          <t>Commercial Services</t>
        </is>
      </c>
      <c r="I114" s="147" t="inlineStr">
        <is>
          <t>Media and Information Services (B2B)</t>
        </is>
      </c>
      <c r="J114" s="148" t="inlineStr">
        <is>
          <t>Media and Information Services (B2B)*</t>
        </is>
      </c>
      <c r="K114" s="149" t="inlineStr">
        <is>
          <t>AdTech, Internet of Things, Marketing Tech, SaaS</t>
        </is>
      </c>
      <c r="L114" s="150" t="inlineStr">
        <is>
          <t>Formerly VC-Backed</t>
        </is>
      </c>
      <c r="M114" s="151" t="n">
        <v>15.4</v>
      </c>
      <c r="N114" s="152" t="inlineStr">
        <is>
          <t>Generating Revenue</t>
        </is>
      </c>
      <c r="O114" s="153" t="inlineStr">
        <is>
          <t>Acquired/Merged</t>
        </is>
      </c>
      <c r="P114" s="154" t="inlineStr">
        <is>
          <t>Venture Capital</t>
        </is>
      </c>
      <c r="Q114" s="155" t="inlineStr">
        <is>
          <t>www.adbrain.com</t>
        </is>
      </c>
      <c r="R114" s="156" t="n">
        <v>44.0</v>
      </c>
      <c r="S114" s="157" t="inlineStr">
        <is>
          <t/>
        </is>
      </c>
      <c r="T114" s="158" t="inlineStr">
        <is>
          <t/>
        </is>
      </c>
      <c r="U114" s="159" t="n">
        <v>2012.0</v>
      </c>
      <c r="V114" s="160" t="inlineStr">
        <is>
          <t/>
        </is>
      </c>
      <c r="W114" s="161" t="inlineStr">
        <is>
          <t/>
        </is>
      </c>
      <c r="X114" s="162" t="inlineStr">
        <is>
          <t/>
        </is>
      </c>
      <c r="Y114" s="163" t="inlineStr">
        <is>
          <t/>
        </is>
      </c>
      <c r="Z114" s="164" t="inlineStr">
        <is>
          <t/>
        </is>
      </c>
      <c r="AA114" s="165" t="inlineStr">
        <is>
          <t/>
        </is>
      </c>
      <c r="AB114" s="166" t="inlineStr">
        <is>
          <t/>
        </is>
      </c>
      <c r="AC114" s="167" t="inlineStr">
        <is>
          <t/>
        </is>
      </c>
      <c r="AD114" s="168" t="inlineStr">
        <is>
          <t/>
        </is>
      </c>
      <c r="AE114" s="169" t="inlineStr">
        <is>
          <t>54570-97P</t>
        </is>
      </c>
      <c r="AF114" s="170" t="inlineStr">
        <is>
          <t>Gareth Davies</t>
        </is>
      </c>
      <c r="AG114" s="171" t="inlineStr">
        <is>
          <t>Co-Founder, Chief Executive Officer &amp; Board Member</t>
        </is>
      </c>
      <c r="AH114" s="172" t="inlineStr">
        <is>
          <t>gareth@adbrain.com</t>
        </is>
      </c>
      <c r="AI114" s="173" t="inlineStr">
        <is>
          <t/>
        </is>
      </c>
      <c r="AJ114" s="174" t="inlineStr">
        <is>
          <t>London, United Kingdom</t>
        </is>
      </c>
      <c r="AK114" s="175" t="inlineStr">
        <is>
          <t>Albert House</t>
        </is>
      </c>
      <c r="AL114" s="176" t="inlineStr">
        <is>
          <t>256-260 Old Street</t>
        </is>
      </c>
      <c r="AM114" s="177" t="inlineStr">
        <is>
          <t>London</t>
        </is>
      </c>
      <c r="AN114" s="178" t="inlineStr">
        <is>
          <t>England</t>
        </is>
      </c>
      <c r="AO114" s="179" t="inlineStr">
        <is>
          <t>EC1V 9DD</t>
        </is>
      </c>
      <c r="AP114" s="180" t="inlineStr">
        <is>
          <t>United Kingdom</t>
        </is>
      </c>
      <c r="AQ114" s="181" t="inlineStr">
        <is>
          <t/>
        </is>
      </c>
      <c r="AR114" s="182" t="inlineStr">
        <is>
          <t/>
        </is>
      </c>
      <c r="AS114" s="183" t="inlineStr">
        <is>
          <t>info@adbrain.com</t>
        </is>
      </c>
      <c r="AT114" s="184" t="inlineStr">
        <is>
          <t>Europe</t>
        </is>
      </c>
      <c r="AU114" s="185" t="inlineStr">
        <is>
          <t>Western Europe</t>
        </is>
      </c>
      <c r="AV114" s="186" t="inlineStr">
        <is>
          <t>The company was acquired by The Trade Desk (Nasdaq: TTD) for an undisclosed amount on October 25, 2017. The company is no longer actively tracked by PitchBook.</t>
        </is>
      </c>
      <c r="AW114" s="187" t="inlineStr">
        <is>
          <t/>
        </is>
      </c>
      <c r="AX114" s="188" t="inlineStr">
        <is>
          <t/>
        </is>
      </c>
      <c r="AY114" s="189" t="inlineStr">
        <is>
          <t>The Trade Desk</t>
        </is>
      </c>
      <c r="AZ114" s="190" t="inlineStr">
        <is>
          <t>Anil Hansjee, Beacon Capital, Christopher Mairs, Cisco Investments, Entrepreneur First, Firestartr, Innova Kapital, Isabel Fox, Ivan Mazour, Kreos Capital, Mobile Value Partners, Nihal Mehta, Notion Capital, Octopus Ventures, Rabin Yaghoubi</t>
        </is>
      </c>
      <c r="BA114" s="191" t="inlineStr">
        <is>
          <t/>
        </is>
      </c>
      <c r="BB114" s="192" t="inlineStr">
        <is>
          <t/>
        </is>
      </c>
      <c r="BC114" s="193" t="inlineStr">
        <is>
          <t>Anil Hansjee (about.me), Beacon Capital (www.beaconcapital.co.uk), Cisco Investments (www.ciscoinvestments.com), Entrepreneur First (www.joinef.com), Firestartr (www.firestartr.co), Innova Kapital (www.innovakapital.com), Ivan Mazour (www.ivanmazour.com), Kreos Capital (www.kreoscapital.com), Mobile Value Partners (www.mvpglobal.com), Notion Capital (www.notioncapital.com), Octopus Ventures (www.octopusventures.com)</t>
        </is>
      </c>
      <c r="BD114" s="194" t="inlineStr">
        <is>
          <t/>
        </is>
      </c>
      <c r="BE114" s="195" t="inlineStr">
        <is>
          <t>Founders Keepers (Consulting), Albany Partners (Consulting)</t>
        </is>
      </c>
      <c r="BF114" s="196" t="inlineStr">
        <is>
          <t>Kreos Capital (Debt Financing)</t>
        </is>
      </c>
      <c r="BG114" s="197" t="n">
        <v>41472.0</v>
      </c>
      <c r="BH114" s="198" t="n">
        <v>1.45</v>
      </c>
      <c r="BI114" s="199" t="inlineStr">
        <is>
          <t>Actual</t>
        </is>
      </c>
      <c r="BJ114" s="200" t="inlineStr">
        <is>
          <t/>
        </is>
      </c>
      <c r="BK114" s="201" t="inlineStr">
        <is>
          <t/>
        </is>
      </c>
      <c r="BL114" s="202" t="inlineStr">
        <is>
          <t>Seed Round</t>
        </is>
      </c>
      <c r="BM114" s="203" t="inlineStr">
        <is>
          <t>Seed</t>
        </is>
      </c>
      <c r="BN114" s="204" t="inlineStr">
        <is>
          <t/>
        </is>
      </c>
      <c r="BO114" s="205" t="inlineStr">
        <is>
          <t>Venture Capital</t>
        </is>
      </c>
      <c r="BP114" s="206" t="inlineStr">
        <is>
          <t/>
        </is>
      </c>
      <c r="BQ114" s="207" t="inlineStr">
        <is>
          <t/>
        </is>
      </c>
      <c r="BR114" s="208" t="inlineStr">
        <is>
          <t/>
        </is>
      </c>
      <c r="BS114" s="209" t="inlineStr">
        <is>
          <t>Completed</t>
        </is>
      </c>
      <c r="BT114" s="210" t="n">
        <v>43033.0</v>
      </c>
      <c r="BU114" s="211" t="inlineStr">
        <is>
          <t/>
        </is>
      </c>
      <c r="BV114" s="212" t="inlineStr">
        <is>
          <t/>
        </is>
      </c>
      <c r="BW114" s="213" t="inlineStr">
        <is>
          <t/>
        </is>
      </c>
      <c r="BX114" s="214" t="inlineStr">
        <is>
          <t/>
        </is>
      </c>
      <c r="BY114" s="215" t="inlineStr">
        <is>
          <t>Merger/Acquisition</t>
        </is>
      </c>
      <c r="BZ114" s="216" t="inlineStr">
        <is>
          <t/>
        </is>
      </c>
      <c r="CA114" s="217" t="inlineStr">
        <is>
          <t/>
        </is>
      </c>
      <c r="CB114" s="218" t="inlineStr">
        <is>
          <t>Corporate</t>
        </is>
      </c>
      <c r="CC114" s="219" t="inlineStr">
        <is>
          <t/>
        </is>
      </c>
      <c r="CD114" s="220" t="inlineStr">
        <is>
          <t/>
        </is>
      </c>
      <c r="CE114" s="221" t="inlineStr">
        <is>
          <t/>
        </is>
      </c>
      <c r="CF114" s="222" t="inlineStr">
        <is>
          <t>Completed</t>
        </is>
      </c>
      <c r="CG114" s="223" t="inlineStr">
        <is>
          <t/>
        </is>
      </c>
      <c r="CH114" s="224" t="inlineStr">
        <is>
          <t/>
        </is>
      </c>
      <c r="CI114" s="225" t="inlineStr">
        <is>
          <t/>
        </is>
      </c>
      <c r="CJ114" s="226" t="inlineStr">
        <is>
          <t/>
        </is>
      </c>
      <c r="CK114" s="227" t="inlineStr">
        <is>
          <t/>
        </is>
      </c>
      <c r="CL114" s="228" t="inlineStr">
        <is>
          <t/>
        </is>
      </c>
      <c r="CM114" s="229" t="inlineStr">
        <is>
          <t/>
        </is>
      </c>
      <c r="CN114" s="230" t="inlineStr">
        <is>
          <t/>
        </is>
      </c>
      <c r="CO114" s="231" t="inlineStr">
        <is>
          <t/>
        </is>
      </c>
      <c r="CP114" s="232" t="inlineStr">
        <is>
          <t/>
        </is>
      </c>
      <c r="CQ114" s="233" t="inlineStr">
        <is>
          <t/>
        </is>
      </c>
      <c r="CR114" s="234" t="inlineStr">
        <is>
          <t/>
        </is>
      </c>
      <c r="CS114" s="235" t="inlineStr">
        <is>
          <t/>
        </is>
      </c>
      <c r="CT114" s="236" t="inlineStr">
        <is>
          <t/>
        </is>
      </c>
      <c r="CU114" s="237" t="inlineStr">
        <is>
          <t/>
        </is>
      </c>
      <c r="CV114" s="238" t="inlineStr">
        <is>
          <t/>
        </is>
      </c>
      <c r="CW114" s="239" t="inlineStr">
        <is>
          <t/>
        </is>
      </c>
      <c r="CX114" s="240" t="inlineStr">
        <is>
          <t/>
        </is>
      </c>
      <c r="CY114" s="241" t="inlineStr">
        <is>
          <t/>
        </is>
      </c>
      <c r="CZ114" s="242" t="inlineStr">
        <is>
          <t/>
        </is>
      </c>
      <c r="DA114" s="243" t="inlineStr">
        <is>
          <t/>
        </is>
      </c>
      <c r="DB114" s="244" t="inlineStr">
        <is>
          <t/>
        </is>
      </c>
      <c r="DC114" s="245" t="inlineStr">
        <is>
          <t/>
        </is>
      </c>
      <c r="DD114" s="246" t="inlineStr">
        <is>
          <t/>
        </is>
      </c>
      <c r="DE114" s="247" t="inlineStr">
        <is>
          <t/>
        </is>
      </c>
      <c r="DF114" s="248" t="inlineStr">
        <is>
          <t/>
        </is>
      </c>
      <c r="DG114" s="249" t="inlineStr">
        <is>
          <t/>
        </is>
      </c>
      <c r="DH114" s="250" t="inlineStr">
        <is>
          <t/>
        </is>
      </c>
      <c r="DI114" s="251" t="inlineStr">
        <is>
          <t/>
        </is>
      </c>
      <c r="DJ114" s="252" t="inlineStr">
        <is>
          <t/>
        </is>
      </c>
      <c r="DK114" s="253" t="inlineStr">
        <is>
          <t/>
        </is>
      </c>
      <c r="DL114" s="254" t="inlineStr">
        <is>
          <t/>
        </is>
      </c>
      <c r="DM114" s="255" t="inlineStr">
        <is>
          <t/>
        </is>
      </c>
      <c r="DN114" s="256" t="inlineStr">
        <is>
          <t/>
        </is>
      </c>
      <c r="DO114" s="257" t="inlineStr">
        <is>
          <t/>
        </is>
      </c>
      <c r="DP114" s="258" t="inlineStr">
        <is>
          <t/>
        </is>
      </c>
      <c r="DQ114" s="259" t="inlineStr">
        <is>
          <t/>
        </is>
      </c>
      <c r="DR114" s="260" t="inlineStr">
        <is>
          <t/>
        </is>
      </c>
      <c r="DS114" s="261" t="inlineStr">
        <is>
          <t/>
        </is>
      </c>
      <c r="DT114" s="262" t="inlineStr">
        <is>
          <t/>
        </is>
      </c>
      <c r="DU114" s="263" t="inlineStr">
        <is>
          <t/>
        </is>
      </c>
      <c r="DV114" s="264" t="inlineStr">
        <is>
          <t/>
        </is>
      </c>
      <c r="DW114" s="265" t="inlineStr">
        <is>
          <t/>
        </is>
      </c>
      <c r="DX114" s="266" t="inlineStr">
        <is>
          <t/>
        </is>
      </c>
      <c r="DY114" s="267" t="inlineStr">
        <is>
          <t>PitchBook Research</t>
        </is>
      </c>
      <c r="DZ114" s="786">
        <f>HYPERLINK("https://my.pitchbook.com?c=58006-72", "View company online")</f>
      </c>
    </row>
    <row r="115">
      <c r="A115" s="9" t="inlineStr">
        <is>
          <t>57231-46</t>
        </is>
      </c>
      <c r="B115" s="10" t="inlineStr">
        <is>
          <t>Base4</t>
        </is>
      </c>
      <c r="C115" s="11" t="inlineStr">
        <is>
          <t/>
        </is>
      </c>
      <c r="D115" s="12" t="inlineStr">
        <is>
          <t/>
        </is>
      </c>
      <c r="E115" s="13" t="inlineStr">
        <is>
          <t>57231-46</t>
        </is>
      </c>
      <c r="F115" s="14" t="inlineStr">
        <is>
          <t>Developer of microdroplet based sequencing technology designed to offer pathogen screening and DNA analysis. The company's microdroplet based sequencing method generates long reads from a single molecule of DNA, without the need for initial amplification, enabling the generation of cheaper, more accurate and much more meaningful sequencing data.</t>
        </is>
      </c>
      <c r="G115" s="15" t="inlineStr">
        <is>
          <t>Healthcare</t>
        </is>
      </c>
      <c r="H115" s="16" t="inlineStr">
        <is>
          <t>Pharmaceuticals and Biotechnology</t>
        </is>
      </c>
      <c r="I115" s="17" t="inlineStr">
        <is>
          <t>Biotechnology</t>
        </is>
      </c>
      <c r="J115" s="18" t="inlineStr">
        <is>
          <t>Biotechnology*</t>
        </is>
      </c>
      <c r="K115" s="19" t="inlineStr">
        <is>
          <t>Life Sciences, Nanotechnology</t>
        </is>
      </c>
      <c r="L115" s="20" t="inlineStr">
        <is>
          <t>Venture Capital-Backed</t>
        </is>
      </c>
      <c r="M115" s="21" t="n">
        <v>15.14</v>
      </c>
      <c r="N115" s="22" t="inlineStr">
        <is>
          <t>Product Development</t>
        </is>
      </c>
      <c r="O115" s="23" t="inlineStr">
        <is>
          <t>Privately Held (backing)</t>
        </is>
      </c>
      <c r="P115" s="24" t="inlineStr">
        <is>
          <t>Venture Capital</t>
        </is>
      </c>
      <c r="Q115" s="25" t="inlineStr">
        <is>
          <t>www.base4.co.uk</t>
        </is>
      </c>
      <c r="R115" s="26" t="n">
        <v>29.0</v>
      </c>
      <c r="S115" s="27" t="inlineStr">
        <is>
          <t/>
        </is>
      </c>
      <c r="T115" s="28" t="inlineStr">
        <is>
          <t/>
        </is>
      </c>
      <c r="U115" s="29" t="n">
        <v>2007.0</v>
      </c>
      <c r="V115" s="30" t="inlineStr">
        <is>
          <t/>
        </is>
      </c>
      <c r="W115" s="31" t="inlineStr">
        <is>
          <t/>
        </is>
      </c>
      <c r="X115" s="32" t="inlineStr">
        <is>
          <t/>
        </is>
      </c>
      <c r="Y115" s="33" t="inlineStr">
        <is>
          <t/>
        </is>
      </c>
      <c r="Z115" s="34" t="inlineStr">
        <is>
          <t/>
        </is>
      </c>
      <c r="AA115" s="35" t="inlineStr">
        <is>
          <t/>
        </is>
      </c>
      <c r="AB115" s="36" t="inlineStr">
        <is>
          <t/>
        </is>
      </c>
      <c r="AC115" s="37" t="inlineStr">
        <is>
          <t/>
        </is>
      </c>
      <c r="AD115" s="38" t="inlineStr">
        <is>
          <t/>
        </is>
      </c>
      <c r="AE115" s="39" t="inlineStr">
        <is>
          <t>49899-16P</t>
        </is>
      </c>
      <c r="AF115" s="40" t="inlineStr">
        <is>
          <t>Cameron Frayling</t>
        </is>
      </c>
      <c r="AG115" s="41" t="inlineStr">
        <is>
          <t>Board Member, Founder and Chief Executive Officer</t>
        </is>
      </c>
      <c r="AH115" s="42" t="inlineStr">
        <is>
          <t>c.frayling@base4.co.uk</t>
        </is>
      </c>
      <c r="AI115" s="43" t="inlineStr">
        <is>
          <t>+44 (0)12 2335 8652</t>
        </is>
      </c>
      <c r="AJ115" s="44" t="inlineStr">
        <is>
          <t>Cambridge, United Kingdom</t>
        </is>
      </c>
      <c r="AK115" s="45" t="inlineStr">
        <is>
          <t>Broers Building</t>
        </is>
      </c>
      <c r="AL115" s="46" t="inlineStr">
        <is>
          <t>21 JJ Thomson Avenue</t>
        </is>
      </c>
      <c r="AM115" s="47" t="inlineStr">
        <is>
          <t>Cambridge</t>
        </is>
      </c>
      <c r="AN115" s="48" t="inlineStr">
        <is>
          <t>England</t>
        </is>
      </c>
      <c r="AO115" s="49" t="inlineStr">
        <is>
          <t>CB3 0FA</t>
        </is>
      </c>
      <c r="AP115" s="50" t="inlineStr">
        <is>
          <t>United Kingdom</t>
        </is>
      </c>
      <c r="AQ115" s="51" t="inlineStr">
        <is>
          <t>+44 (0)12 2335 8652</t>
        </is>
      </c>
      <c r="AR115" s="52" t="inlineStr">
        <is>
          <t/>
        </is>
      </c>
      <c r="AS115" s="53" t="inlineStr">
        <is>
          <t>info@base4.co.uk</t>
        </is>
      </c>
      <c r="AT115" s="54" t="inlineStr">
        <is>
          <t>Europe</t>
        </is>
      </c>
      <c r="AU115" s="55" t="inlineStr">
        <is>
          <t>Western Europe</t>
        </is>
      </c>
      <c r="AV115" s="56" t="inlineStr">
        <is>
          <t>The company raised GBP 5 million of venture funding in a deal led by Longwall Ventures in October 2017. The funds will be used to expand the current team and increase lab space, facilitating the continued fast-paced development and automation of its technology.</t>
        </is>
      </c>
      <c r="AW115" s="57" t="inlineStr">
        <is>
          <t>Cambridge Capital Group, Individual Investor, Longwall Ventures, Meridian Growth Capital, Oxford Technology, The Royal Society of London, Warwick Ventures</t>
        </is>
      </c>
      <c r="AX115" s="58" t="n">
        <v>7.0</v>
      </c>
      <c r="AY115" s="59" t="inlineStr">
        <is>
          <t/>
        </is>
      </c>
      <c r="AZ115" s="60" t="inlineStr">
        <is>
          <t/>
        </is>
      </c>
      <c r="BA115" s="61" t="inlineStr">
        <is>
          <t/>
        </is>
      </c>
      <c r="BB115" s="62" t="inlineStr">
        <is>
          <t>Cambridge Capital Group (www.cambridgecapitalgroup.co.uk), Longwall Ventures (www.longwallventures.com), Meridian Growth Capital (www.meridiangc.com), Oxford Technology (www.oxfordtechnology.com), The Royal Society of London (www.royalsociety.org), Warwick Ventures (www.ventures.warwick.ac.uk)</t>
        </is>
      </c>
      <c r="BC115" s="63" t="inlineStr">
        <is>
          <t/>
        </is>
      </c>
      <c r="BD115" s="64" t="inlineStr">
        <is>
          <t/>
        </is>
      </c>
      <c r="BE115" s="65" t="inlineStr">
        <is>
          <t/>
        </is>
      </c>
      <c r="BF115" s="66" t="inlineStr">
        <is>
          <t/>
        </is>
      </c>
      <c r="BG115" s="67" t="n">
        <v>39753.0</v>
      </c>
      <c r="BH115" s="68" t="inlineStr">
        <is>
          <t/>
        </is>
      </c>
      <c r="BI115" s="69" t="inlineStr">
        <is>
          <t/>
        </is>
      </c>
      <c r="BJ115" s="70" t="inlineStr">
        <is>
          <t/>
        </is>
      </c>
      <c r="BK115" s="71" t="inlineStr">
        <is>
          <t/>
        </is>
      </c>
      <c r="BL115" s="72" t="inlineStr">
        <is>
          <t>Seed Round</t>
        </is>
      </c>
      <c r="BM115" s="73" t="inlineStr">
        <is>
          <t>Seed</t>
        </is>
      </c>
      <c r="BN115" s="74" t="inlineStr">
        <is>
          <t/>
        </is>
      </c>
      <c r="BO115" s="75" t="inlineStr">
        <is>
          <t>Venture Capital</t>
        </is>
      </c>
      <c r="BP115" s="76" t="inlineStr">
        <is>
          <t/>
        </is>
      </c>
      <c r="BQ115" s="77" t="inlineStr">
        <is>
          <t/>
        </is>
      </c>
      <c r="BR115" s="78" t="inlineStr">
        <is>
          <t/>
        </is>
      </c>
      <c r="BS115" s="79" t="inlineStr">
        <is>
          <t>Completed</t>
        </is>
      </c>
      <c r="BT115" s="80" t="n">
        <v>43009.0</v>
      </c>
      <c r="BU115" s="81" t="n">
        <v>5.61</v>
      </c>
      <c r="BV115" s="82" t="inlineStr">
        <is>
          <t>Actual</t>
        </is>
      </c>
      <c r="BW115" s="83" t="inlineStr">
        <is>
          <t/>
        </is>
      </c>
      <c r="BX115" s="84" t="inlineStr">
        <is>
          <t/>
        </is>
      </c>
      <c r="BY115" s="85" t="inlineStr">
        <is>
          <t>Later Stage VC</t>
        </is>
      </c>
      <c r="BZ115" s="86" t="inlineStr">
        <is>
          <t/>
        </is>
      </c>
      <c r="CA115" s="87" t="inlineStr">
        <is>
          <t/>
        </is>
      </c>
      <c r="CB115" s="88" t="inlineStr">
        <is>
          <t>Venture Capital</t>
        </is>
      </c>
      <c r="CC115" s="89" t="inlineStr">
        <is>
          <t/>
        </is>
      </c>
      <c r="CD115" s="90" t="inlineStr">
        <is>
          <t/>
        </is>
      </c>
      <c r="CE115" s="91" t="inlineStr">
        <is>
          <t/>
        </is>
      </c>
      <c r="CF115" s="92" t="inlineStr">
        <is>
          <t>Completed</t>
        </is>
      </c>
      <c r="CG115" s="93" t="inlineStr">
        <is>
          <t>0,00%</t>
        </is>
      </c>
      <c r="CH115" s="94" t="inlineStr">
        <is>
          <t>33</t>
        </is>
      </c>
      <c r="CI115" s="95" t="inlineStr">
        <is>
          <t>0,00%</t>
        </is>
      </c>
      <c r="CJ115" s="96" t="inlineStr">
        <is>
          <t>0,00%</t>
        </is>
      </c>
      <c r="CK115" s="97" t="inlineStr">
        <is>
          <t>0,00%</t>
        </is>
      </c>
      <c r="CL115" s="98" t="inlineStr">
        <is>
          <t>28</t>
        </is>
      </c>
      <c r="CM115" s="99" t="inlineStr">
        <is>
          <t/>
        </is>
      </c>
      <c r="CN115" s="100" t="inlineStr">
        <is>
          <t/>
        </is>
      </c>
      <c r="CO115" s="101" t="inlineStr">
        <is>
          <t>0,00%</t>
        </is>
      </c>
      <c r="CP115" s="102" t="inlineStr">
        <is>
          <t>37</t>
        </is>
      </c>
      <c r="CQ115" s="103" t="inlineStr">
        <is>
          <t>0,00%</t>
        </is>
      </c>
      <c r="CR115" s="104" t="inlineStr">
        <is>
          <t>20</t>
        </is>
      </c>
      <c r="CS115" s="105" t="inlineStr">
        <is>
          <t/>
        </is>
      </c>
      <c r="CT115" s="106" t="inlineStr">
        <is>
          <t/>
        </is>
      </c>
      <c r="CU115" s="107" t="inlineStr">
        <is>
          <t/>
        </is>
      </c>
      <c r="CV115" s="108" t="inlineStr">
        <is>
          <t/>
        </is>
      </c>
      <c r="CW115" s="109" t="inlineStr">
        <is>
          <t>0,77x</t>
        </is>
      </c>
      <c r="CX115" s="110" t="inlineStr">
        <is>
          <t>43</t>
        </is>
      </c>
      <c r="CY115" s="111" t="inlineStr">
        <is>
          <t>0,00x</t>
        </is>
      </c>
      <c r="CZ115" s="112" t="inlineStr">
        <is>
          <t>0,00%</t>
        </is>
      </c>
      <c r="DA115" s="113" t="inlineStr">
        <is>
          <t>0,77x</t>
        </is>
      </c>
      <c r="DB115" s="114" t="inlineStr">
        <is>
          <t>45</t>
        </is>
      </c>
      <c r="DC115" s="115" t="inlineStr">
        <is>
          <t/>
        </is>
      </c>
      <c r="DD115" s="116" t="inlineStr">
        <is>
          <t/>
        </is>
      </c>
      <c r="DE115" s="117" t="inlineStr">
        <is>
          <t>0,24x</t>
        </is>
      </c>
      <c r="DF115" s="118" t="inlineStr">
        <is>
          <t>17</t>
        </is>
      </c>
      <c r="DG115" s="119" t="inlineStr">
        <is>
          <t>1,31x</t>
        </is>
      </c>
      <c r="DH115" s="120" t="inlineStr">
        <is>
          <t>56</t>
        </is>
      </c>
      <c r="DI115" s="121" t="inlineStr">
        <is>
          <t/>
        </is>
      </c>
      <c r="DJ115" s="122" t="inlineStr">
        <is>
          <t/>
        </is>
      </c>
      <c r="DK115" s="123" t="inlineStr">
        <is>
          <t/>
        </is>
      </c>
      <c r="DL115" s="124" t="inlineStr">
        <is>
          <t/>
        </is>
      </c>
      <c r="DM115" s="125" t="inlineStr">
        <is>
          <t>112</t>
        </is>
      </c>
      <c r="DN115" s="126" t="inlineStr">
        <is>
          <t>-67</t>
        </is>
      </c>
      <c r="DO115" s="127" t="inlineStr">
        <is>
          <t>-37,43%</t>
        </is>
      </c>
      <c r="DP115" s="128" t="inlineStr">
        <is>
          <t/>
        </is>
      </c>
      <c r="DQ115" s="129" t="inlineStr">
        <is>
          <t/>
        </is>
      </c>
      <c r="DR115" s="130" t="inlineStr">
        <is>
          <t/>
        </is>
      </c>
      <c r="DS115" s="131" t="inlineStr">
        <is>
          <t>47</t>
        </is>
      </c>
      <c r="DT115" s="132" t="inlineStr">
        <is>
          <t>1</t>
        </is>
      </c>
      <c r="DU115" s="133" t="inlineStr">
        <is>
          <t>2,17%</t>
        </is>
      </c>
      <c r="DV115" s="134" t="inlineStr">
        <is>
          <t/>
        </is>
      </c>
      <c r="DW115" s="135" t="inlineStr">
        <is>
          <t/>
        </is>
      </c>
      <c r="DX115" s="136" t="inlineStr">
        <is>
          <t/>
        </is>
      </c>
      <c r="DY115" s="137" t="inlineStr">
        <is>
          <t>PitchBook Research</t>
        </is>
      </c>
      <c r="DZ115" s="785">
        <f>HYPERLINK("https://my.pitchbook.com?c=57231-46", "View company online")</f>
      </c>
    </row>
    <row r="116">
      <c r="A116" s="139" t="inlineStr">
        <is>
          <t>146770-30</t>
        </is>
      </c>
      <c r="B116" s="140" t="inlineStr">
        <is>
          <t>Ohpen</t>
        </is>
      </c>
      <c r="C116" s="141" t="inlineStr">
        <is>
          <t/>
        </is>
      </c>
      <c r="D116" s="142" t="inlineStr">
        <is>
          <t/>
        </is>
      </c>
      <c r="E116" s="143" t="inlineStr">
        <is>
          <t>146770-30</t>
        </is>
      </c>
      <c r="F116" s="144" t="inlineStr">
        <is>
          <t>Developer of a cloud based core banking engine designed to automate the administration of financial companies. The company's online banking software automates the administration of investment accounts, facilitates the administration of both variable interest rate accounts and fixed term deposits, processes contributions and withdrawals safely to and from the savings and investment accounts and handles the configuration of suitability testing and the subsequent management of model portfolios that are linked to individual customer accounts based on risk profiles, enabling financial companies to use execution-only fund supermarket, robo advice and discretionary asset management tools and automate entire business processes.</t>
        </is>
      </c>
      <c r="G116" s="145" t="inlineStr">
        <is>
          <t>Information Technology</t>
        </is>
      </c>
      <c r="H116" s="146" t="inlineStr">
        <is>
          <t>Software</t>
        </is>
      </c>
      <c r="I116" s="147" t="inlineStr">
        <is>
          <t>Automation/Workflow Software</t>
        </is>
      </c>
      <c r="J116" s="148" t="inlineStr">
        <is>
          <t>Automation/Workflow Software*; Financial Software</t>
        </is>
      </c>
      <c r="K116" s="149" t="inlineStr">
        <is>
          <t>FinTech, SaaS</t>
        </is>
      </c>
      <c r="L116" s="150" t="inlineStr">
        <is>
          <t>Venture Capital-Backed</t>
        </is>
      </c>
      <c r="M116" s="151" t="n">
        <v>15.0</v>
      </c>
      <c r="N116" s="152" t="inlineStr">
        <is>
          <t>Generating Revenue</t>
        </is>
      </c>
      <c r="O116" s="153" t="inlineStr">
        <is>
          <t>Privately Held (backing)</t>
        </is>
      </c>
      <c r="P116" s="154" t="inlineStr">
        <is>
          <t>Venture Capital</t>
        </is>
      </c>
      <c r="Q116" s="155" t="inlineStr">
        <is>
          <t>www.ohpen.com</t>
        </is>
      </c>
      <c r="R116" s="156" t="n">
        <v>100.0</v>
      </c>
      <c r="S116" s="157" t="inlineStr">
        <is>
          <t/>
        </is>
      </c>
      <c r="T116" s="158" t="inlineStr">
        <is>
          <t/>
        </is>
      </c>
      <c r="U116" s="159" t="n">
        <v>2009.0</v>
      </c>
      <c r="V116" s="160" t="inlineStr">
        <is>
          <t/>
        </is>
      </c>
      <c r="W116" s="161" t="inlineStr">
        <is>
          <t/>
        </is>
      </c>
      <c r="X116" s="162" t="inlineStr">
        <is>
          <t/>
        </is>
      </c>
      <c r="Y116" s="163" t="inlineStr">
        <is>
          <t/>
        </is>
      </c>
      <c r="Z116" s="164" t="inlineStr">
        <is>
          <t/>
        </is>
      </c>
      <c r="AA116" s="165" t="inlineStr">
        <is>
          <t/>
        </is>
      </c>
      <c r="AB116" s="166" t="inlineStr">
        <is>
          <t/>
        </is>
      </c>
      <c r="AC116" s="167" t="inlineStr">
        <is>
          <t/>
        </is>
      </c>
      <c r="AD116" s="168" t="inlineStr">
        <is>
          <t/>
        </is>
      </c>
      <c r="AE116" s="169" t="inlineStr">
        <is>
          <t>166304-44P</t>
        </is>
      </c>
      <c r="AF116" s="170" t="inlineStr">
        <is>
          <t>Remko Slotema</t>
        </is>
      </c>
      <c r="AG116" s="171" t="inlineStr">
        <is>
          <t>Chief Financial Officer</t>
        </is>
      </c>
      <c r="AH116" s="172" t="inlineStr">
        <is>
          <t>remko@ohpen.com</t>
        </is>
      </c>
      <c r="AI116" s="173" t="inlineStr">
        <is>
          <t>+31 (0)20 722 1000</t>
        </is>
      </c>
      <c r="AJ116" s="174" t="inlineStr">
        <is>
          <t>Amsterdam, Netherlands</t>
        </is>
      </c>
      <c r="AK116" s="175" t="inlineStr">
        <is>
          <t>Rokin 111</t>
        </is>
      </c>
      <c r="AL116" s="176" t="inlineStr">
        <is>
          <t/>
        </is>
      </c>
      <c r="AM116" s="177" t="inlineStr">
        <is>
          <t>Amsterdam</t>
        </is>
      </c>
      <c r="AN116" s="178" t="inlineStr">
        <is>
          <t/>
        </is>
      </c>
      <c r="AO116" s="179" t="inlineStr">
        <is>
          <t>1012 KN</t>
        </is>
      </c>
      <c r="AP116" s="180" t="inlineStr">
        <is>
          <t>Netherlands</t>
        </is>
      </c>
      <c r="AQ116" s="181" t="inlineStr">
        <is>
          <t>+31 (0)20 722 1000</t>
        </is>
      </c>
      <c r="AR116" s="182" t="inlineStr">
        <is>
          <t/>
        </is>
      </c>
      <c r="AS116" s="183" t="inlineStr">
        <is>
          <t>info@ohpen.com</t>
        </is>
      </c>
      <c r="AT116" s="184" t="inlineStr">
        <is>
          <t>Europe</t>
        </is>
      </c>
      <c r="AU116" s="185" t="inlineStr">
        <is>
          <t>Western Europe</t>
        </is>
      </c>
      <c r="AV116" s="186" t="inlineStr">
        <is>
          <t>The company raised EUR 15 million of Series B funding from Amerborgh on July 4, 2017, putting the valuation at EUR 100 million. The funds will be used to accelerate growth.</t>
        </is>
      </c>
      <c r="AW116" s="187" t="inlineStr">
        <is>
          <t>Amerborgh</t>
        </is>
      </c>
      <c r="AX116" s="188" t="n">
        <v>1.0</v>
      </c>
      <c r="AY116" s="189" t="inlineStr">
        <is>
          <t/>
        </is>
      </c>
      <c r="AZ116" s="190" t="inlineStr">
        <is>
          <t/>
        </is>
      </c>
      <c r="BA116" s="191" t="inlineStr">
        <is>
          <t/>
        </is>
      </c>
      <c r="BB116" s="192" t="inlineStr">
        <is>
          <t>Amerborgh (www.amerborgh.com)</t>
        </is>
      </c>
      <c r="BC116" s="193" t="inlineStr">
        <is>
          <t/>
        </is>
      </c>
      <c r="BD116" s="194" t="inlineStr">
        <is>
          <t/>
        </is>
      </c>
      <c r="BE116" s="195" t="inlineStr">
        <is>
          <t>Houthoff (Legal Advisor)</t>
        </is>
      </c>
      <c r="BF116" s="196" t="inlineStr">
        <is>
          <t/>
        </is>
      </c>
      <c r="BG116" s="197" t="n">
        <v>42920.0</v>
      </c>
      <c r="BH116" s="198" t="n">
        <v>15.0</v>
      </c>
      <c r="BI116" s="199" t="inlineStr">
        <is>
          <t>Actual</t>
        </is>
      </c>
      <c r="BJ116" s="200" t="n">
        <v>100.0</v>
      </c>
      <c r="BK116" s="201" t="inlineStr">
        <is>
          <t>Actual</t>
        </is>
      </c>
      <c r="BL116" s="202" t="inlineStr">
        <is>
          <t>Later Stage VC</t>
        </is>
      </c>
      <c r="BM116" s="203" t="inlineStr">
        <is>
          <t>Series B</t>
        </is>
      </c>
      <c r="BN116" s="204" t="inlineStr">
        <is>
          <t/>
        </is>
      </c>
      <c r="BO116" s="205" t="inlineStr">
        <is>
          <t>Venture Capital</t>
        </is>
      </c>
      <c r="BP116" s="206" t="inlineStr">
        <is>
          <t/>
        </is>
      </c>
      <c r="BQ116" s="207" t="inlineStr">
        <is>
          <t/>
        </is>
      </c>
      <c r="BR116" s="208" t="inlineStr">
        <is>
          <t/>
        </is>
      </c>
      <c r="BS116" s="209" t="inlineStr">
        <is>
          <t>Completed</t>
        </is>
      </c>
      <c r="BT116" s="210" t="n">
        <v>42920.0</v>
      </c>
      <c r="BU116" s="211" t="n">
        <v>15.0</v>
      </c>
      <c r="BV116" s="212" t="inlineStr">
        <is>
          <t>Actual</t>
        </is>
      </c>
      <c r="BW116" s="213" t="n">
        <v>100.0</v>
      </c>
      <c r="BX116" s="214" t="inlineStr">
        <is>
          <t>Actual</t>
        </is>
      </c>
      <c r="BY116" s="215" t="inlineStr">
        <is>
          <t>Later Stage VC</t>
        </is>
      </c>
      <c r="BZ116" s="216" t="inlineStr">
        <is>
          <t>Series B</t>
        </is>
      </c>
      <c r="CA116" s="217" t="inlineStr">
        <is>
          <t/>
        </is>
      </c>
      <c r="CB116" s="218" t="inlineStr">
        <is>
          <t>Venture Capital</t>
        </is>
      </c>
      <c r="CC116" s="219" t="inlineStr">
        <is>
          <t/>
        </is>
      </c>
      <c r="CD116" s="220" t="inlineStr">
        <is>
          <t/>
        </is>
      </c>
      <c r="CE116" s="221" t="inlineStr">
        <is>
          <t/>
        </is>
      </c>
      <c r="CF116" s="222" t="inlineStr">
        <is>
          <t>Completed</t>
        </is>
      </c>
      <c r="CG116" s="223" t="inlineStr">
        <is>
          <t>-5,95%</t>
        </is>
      </c>
      <c r="CH116" s="224" t="inlineStr">
        <is>
          <t>3</t>
        </is>
      </c>
      <c r="CI116" s="225" t="inlineStr">
        <is>
          <t>-0,18%</t>
        </is>
      </c>
      <c r="CJ116" s="226" t="inlineStr">
        <is>
          <t>-3,08%</t>
        </is>
      </c>
      <c r="CK116" s="227" t="inlineStr">
        <is>
          <t>-10,46%</t>
        </is>
      </c>
      <c r="CL116" s="228" t="inlineStr">
        <is>
          <t>3</t>
        </is>
      </c>
      <c r="CM116" s="229" t="inlineStr">
        <is>
          <t>-1,44%</t>
        </is>
      </c>
      <c r="CN116" s="230" t="inlineStr">
        <is>
          <t>1</t>
        </is>
      </c>
      <c r="CO116" s="231" t="inlineStr">
        <is>
          <t>-19,61%</t>
        </is>
      </c>
      <c r="CP116" s="232" t="inlineStr">
        <is>
          <t>5</t>
        </is>
      </c>
      <c r="CQ116" s="233" t="inlineStr">
        <is>
          <t>-1,32%</t>
        </is>
      </c>
      <c r="CR116" s="234" t="inlineStr">
        <is>
          <t>7</t>
        </is>
      </c>
      <c r="CS116" s="235" t="inlineStr">
        <is>
          <t/>
        </is>
      </c>
      <c r="CT116" s="236" t="inlineStr">
        <is>
          <t/>
        </is>
      </c>
      <c r="CU116" s="237" t="inlineStr">
        <is>
          <t>-1,44%</t>
        </is>
      </c>
      <c r="CV116" s="238" t="inlineStr">
        <is>
          <t>1</t>
        </is>
      </c>
      <c r="CW116" s="239" t="inlineStr">
        <is>
          <t>59,27x</t>
        </is>
      </c>
      <c r="CX116" s="240" t="inlineStr">
        <is>
          <t>97</t>
        </is>
      </c>
      <c r="CY116" s="241" t="inlineStr">
        <is>
          <t>-1,35x</t>
        </is>
      </c>
      <c r="CZ116" s="242" t="inlineStr">
        <is>
          <t>-2,23%</t>
        </is>
      </c>
      <c r="DA116" s="243" t="inlineStr">
        <is>
          <t>6,54x</t>
        </is>
      </c>
      <c r="DB116" s="244" t="inlineStr">
        <is>
          <t>85</t>
        </is>
      </c>
      <c r="DC116" s="245" t="inlineStr">
        <is>
          <t>111,99x</t>
        </is>
      </c>
      <c r="DD116" s="246" t="inlineStr">
        <is>
          <t>97</t>
        </is>
      </c>
      <c r="DE116" s="247" t="inlineStr">
        <is>
          <t>0,20x</t>
        </is>
      </c>
      <c r="DF116" s="248" t="inlineStr">
        <is>
          <t>13</t>
        </is>
      </c>
      <c r="DG116" s="249" t="inlineStr">
        <is>
          <t>12,89x</t>
        </is>
      </c>
      <c r="DH116" s="250" t="inlineStr">
        <is>
          <t>90</t>
        </is>
      </c>
      <c r="DI116" s="251" t="inlineStr">
        <is>
          <t/>
        </is>
      </c>
      <c r="DJ116" s="252" t="inlineStr">
        <is>
          <t/>
        </is>
      </c>
      <c r="DK116" s="253" t="inlineStr">
        <is>
          <t>111,99x</t>
        </is>
      </c>
      <c r="DL116" s="254" t="inlineStr">
        <is>
          <t>98</t>
        </is>
      </c>
      <c r="DM116" s="255" t="inlineStr">
        <is>
          <t>244</t>
        </is>
      </c>
      <c r="DN116" s="256" t="inlineStr">
        <is>
          <t>-396</t>
        </is>
      </c>
      <c r="DO116" s="257" t="inlineStr">
        <is>
          <t>-61,88%</t>
        </is>
      </c>
      <c r="DP116" s="258" t="inlineStr">
        <is>
          <t>22.541</t>
        </is>
      </c>
      <c r="DQ116" s="259" t="inlineStr">
        <is>
          <t>-5</t>
        </is>
      </c>
      <c r="DR116" s="260" t="inlineStr">
        <is>
          <t>-0,02%</t>
        </is>
      </c>
      <c r="DS116" s="261" t="inlineStr">
        <is>
          <t>479</t>
        </is>
      </c>
      <c r="DT116" s="262" t="inlineStr">
        <is>
          <t>-22</t>
        </is>
      </c>
      <c r="DU116" s="263" t="inlineStr">
        <is>
          <t>-4,39%</t>
        </is>
      </c>
      <c r="DV116" s="264" t="inlineStr">
        <is>
          <t>42.076</t>
        </is>
      </c>
      <c r="DW116" s="265" t="inlineStr">
        <is>
          <t>-238</t>
        </is>
      </c>
      <c r="DX116" s="266" t="inlineStr">
        <is>
          <t>-0,56%</t>
        </is>
      </c>
      <c r="DY116" s="267" t="inlineStr">
        <is>
          <t>PitchBook Research</t>
        </is>
      </c>
      <c r="DZ116" s="786">
        <f>HYPERLINK("https://my.pitchbook.com?c=146770-30", "View company online")</f>
      </c>
    </row>
    <row r="117">
      <c r="A117" s="9" t="inlineStr">
        <is>
          <t>58093-39</t>
        </is>
      </c>
      <c r="B117" s="10" t="inlineStr">
        <is>
          <t>Vekia</t>
        </is>
      </c>
      <c r="C117" s="11" t="inlineStr">
        <is>
          <t/>
        </is>
      </c>
      <c r="D117" s="12" t="inlineStr">
        <is>
          <t/>
        </is>
      </c>
      <c r="E117" s="13" t="inlineStr">
        <is>
          <t>58093-39</t>
        </is>
      </c>
      <c r="F117" s="14" t="inlineStr">
        <is>
          <t>Provider of market-based supply chain management services designed to help distributors achieve excellence in managing their inventories. The company's market-based supply chain management services use artificial intelligence algorithms every act of inventory management, whether small or large, enabling businesses to achieve rapid and strong impacts on turnover and margin.</t>
        </is>
      </c>
      <c r="G117" s="15" t="inlineStr">
        <is>
          <t>Consumer Products and Services (B2C)</t>
        </is>
      </c>
      <c r="H117" s="16" t="inlineStr">
        <is>
          <t>Media</t>
        </is>
      </c>
      <c r="I117" s="17" t="inlineStr">
        <is>
          <t>Publishing</t>
        </is>
      </c>
      <c r="J117" s="18" t="inlineStr">
        <is>
          <t>Publishing*; Logistics; Business/Productivity Software</t>
        </is>
      </c>
      <c r="K117" s="19" t="inlineStr">
        <is>
          <t>Artificial Intelligence &amp; Machine Learning</t>
        </is>
      </c>
      <c r="L117" s="20" t="inlineStr">
        <is>
          <t>Venture Capital-Backed</t>
        </is>
      </c>
      <c r="M117" s="21" t="n">
        <v>14.9</v>
      </c>
      <c r="N117" s="22" t="inlineStr">
        <is>
          <t>Profitable</t>
        </is>
      </c>
      <c r="O117" s="23" t="inlineStr">
        <is>
          <t>Privately Held (backing)</t>
        </is>
      </c>
      <c r="P117" s="24" t="inlineStr">
        <is>
          <t>Venture Capital</t>
        </is>
      </c>
      <c r="Q117" s="25" t="inlineStr">
        <is>
          <t>www.vekia.fr</t>
        </is>
      </c>
      <c r="R117" s="26" t="n">
        <v>60.0</v>
      </c>
      <c r="S117" s="27" t="inlineStr">
        <is>
          <t/>
        </is>
      </c>
      <c r="T117" s="28" t="inlineStr">
        <is>
          <t/>
        </is>
      </c>
      <c r="U117" s="29" t="n">
        <v>2008.0</v>
      </c>
      <c r="V117" s="30" t="inlineStr">
        <is>
          <t/>
        </is>
      </c>
      <c r="W117" s="31" t="inlineStr">
        <is>
          <t/>
        </is>
      </c>
      <c r="X117" s="32" t="inlineStr">
        <is>
          <t/>
        </is>
      </c>
      <c r="Y117" s="33" t="n">
        <v>1.38049</v>
      </c>
      <c r="Z117" s="34" t="n">
        <v>0.0</v>
      </c>
      <c r="AA117" s="35" t="inlineStr">
        <is>
          <t/>
        </is>
      </c>
      <c r="AB117" s="36" t="inlineStr">
        <is>
          <t/>
        </is>
      </c>
      <c r="AC117" s="37" t="n">
        <v>0.01517</v>
      </c>
      <c r="AD117" s="38" t="inlineStr">
        <is>
          <t>FY 2011</t>
        </is>
      </c>
      <c r="AE117" s="39" t="inlineStr">
        <is>
          <t>52075-54P</t>
        </is>
      </c>
      <c r="AF117" s="40" t="inlineStr">
        <is>
          <t>Manuel Davy</t>
        </is>
      </c>
      <c r="AG117" s="41" t="inlineStr">
        <is>
          <t>Founder &amp; President</t>
        </is>
      </c>
      <c r="AH117" s="42" t="inlineStr">
        <is>
          <t>manuel.davy@vekia.fr</t>
        </is>
      </c>
      <c r="AI117" s="43" t="inlineStr">
        <is>
          <t>+33 (0)3 51 08 11 62</t>
        </is>
      </c>
      <c r="AJ117" s="44" t="inlineStr">
        <is>
          <t>Lille, France</t>
        </is>
      </c>
      <c r="AK117" s="45" t="inlineStr">
        <is>
          <t>Euratechnologies – Bâtiment Urbawood</t>
        </is>
      </c>
      <c r="AL117" s="46" t="inlineStr">
        <is>
          <t>58 allée Marie-Thérèse Vicot-Lhermitte</t>
        </is>
      </c>
      <c r="AM117" s="47" t="inlineStr">
        <is>
          <t>Lille</t>
        </is>
      </c>
      <c r="AN117" s="48" t="inlineStr">
        <is>
          <t/>
        </is>
      </c>
      <c r="AO117" s="49" t="inlineStr">
        <is>
          <t>59000</t>
        </is>
      </c>
      <c r="AP117" s="50" t="inlineStr">
        <is>
          <t>France</t>
        </is>
      </c>
      <c r="AQ117" s="51" t="inlineStr">
        <is>
          <t>+33 (0)3 51 08 11 62</t>
        </is>
      </c>
      <c r="AR117" s="52" t="inlineStr">
        <is>
          <t>+33 (0)3 68 33 54 06</t>
        </is>
      </c>
      <c r="AS117" s="53" t="inlineStr">
        <is>
          <t>contact@vekia.fr</t>
        </is>
      </c>
      <c r="AT117" s="54" t="inlineStr">
        <is>
          <t>Europe</t>
        </is>
      </c>
      <c r="AU117" s="55" t="inlineStr">
        <is>
          <t>Western Europe</t>
        </is>
      </c>
      <c r="AV117" s="56" t="inlineStr">
        <is>
          <t>The company raised EUR 12 million of venture funding in a deal co-led by Serena Capital and BPIFrance on September 7, 2017. Pléiade Venture, CapHorn Invest and Zenium Technology Partners also participated. The company intends to use the funds to accelerate their international expansion in the United Kingdom, the United States and China, as well as to boost their technological progress and to double the staff size in the next year.</t>
        </is>
      </c>
      <c r="AW117" s="57" t="inlineStr">
        <is>
          <t>Bpifrance, CapHorn Invest, EuraTechnologies, Finorpa, Pleiade Venture, Serena Capital, Zenium Technology Partners</t>
        </is>
      </c>
      <c r="AX117" s="58" t="n">
        <v>7.0</v>
      </c>
      <c r="AY117" s="59" t="inlineStr">
        <is>
          <t/>
        </is>
      </c>
      <c r="AZ117" s="60" t="inlineStr">
        <is>
          <t/>
        </is>
      </c>
      <c r="BA117" s="61" t="inlineStr">
        <is>
          <t/>
        </is>
      </c>
      <c r="BB117" s="62" t="inlineStr">
        <is>
          <t>Bpifrance (www.bpifrance.fr), CapHorn Invest (www.caphorninvest.fr), EuraTechnologies (www.euratechnologies.com), Finorpa (www.finorpa.fr), Pleiade Venture (www.pleiadeventure.com), Serena Capital (www.serenacapital.com), Zenium Technology Partners (www.zeniumdatacenters.com)</t>
        </is>
      </c>
      <c r="BC117" s="63" t="inlineStr">
        <is>
          <t/>
        </is>
      </c>
      <c r="BD117" s="64" t="inlineStr">
        <is>
          <t/>
        </is>
      </c>
      <c r="BE117" s="65" t="inlineStr">
        <is>
          <t/>
        </is>
      </c>
      <c r="BF117" s="66" t="inlineStr">
        <is>
          <t/>
        </is>
      </c>
      <c r="BG117" s="67" t="inlineStr">
        <is>
          <t/>
        </is>
      </c>
      <c r="BH117" s="68" t="inlineStr">
        <is>
          <t/>
        </is>
      </c>
      <c r="BI117" s="69" t="inlineStr">
        <is>
          <t/>
        </is>
      </c>
      <c r="BJ117" s="70" t="inlineStr">
        <is>
          <t/>
        </is>
      </c>
      <c r="BK117" s="71" t="inlineStr">
        <is>
          <t/>
        </is>
      </c>
      <c r="BL117" s="72" t="inlineStr">
        <is>
          <t>Accelerator/Incubator</t>
        </is>
      </c>
      <c r="BM117" s="73" t="inlineStr">
        <is>
          <t/>
        </is>
      </c>
      <c r="BN117" s="74" t="inlineStr">
        <is>
          <t/>
        </is>
      </c>
      <c r="BO117" s="75" t="inlineStr">
        <is>
          <t>Other</t>
        </is>
      </c>
      <c r="BP117" s="76" t="inlineStr">
        <is>
          <t/>
        </is>
      </c>
      <c r="BQ117" s="77" t="inlineStr">
        <is>
          <t/>
        </is>
      </c>
      <c r="BR117" s="78" t="inlineStr">
        <is>
          <t/>
        </is>
      </c>
      <c r="BS117" s="79" t="inlineStr">
        <is>
          <t>Completed</t>
        </is>
      </c>
      <c r="BT117" s="80" t="n">
        <v>42985.0</v>
      </c>
      <c r="BU117" s="81" t="n">
        <v>12.0</v>
      </c>
      <c r="BV117" s="82" t="inlineStr">
        <is>
          <t>Actual</t>
        </is>
      </c>
      <c r="BW117" s="83" t="inlineStr">
        <is>
          <t/>
        </is>
      </c>
      <c r="BX117" s="84" t="inlineStr">
        <is>
          <t/>
        </is>
      </c>
      <c r="BY117" s="85" t="inlineStr">
        <is>
          <t>Later Stage VC</t>
        </is>
      </c>
      <c r="BZ117" s="86" t="inlineStr">
        <is>
          <t/>
        </is>
      </c>
      <c r="CA117" s="87" t="inlineStr">
        <is>
          <t/>
        </is>
      </c>
      <c r="CB117" s="88" t="inlineStr">
        <is>
          <t>Venture Capital</t>
        </is>
      </c>
      <c r="CC117" s="89" t="inlineStr">
        <is>
          <t/>
        </is>
      </c>
      <c r="CD117" s="90" t="inlineStr">
        <is>
          <t/>
        </is>
      </c>
      <c r="CE117" s="91" t="inlineStr">
        <is>
          <t/>
        </is>
      </c>
      <c r="CF117" s="92" t="inlineStr">
        <is>
          <t>Completed</t>
        </is>
      </c>
      <c r="CG117" s="93" t="inlineStr">
        <is>
          <t>-0,13%</t>
        </is>
      </c>
      <c r="CH117" s="94" t="inlineStr">
        <is>
          <t>24</t>
        </is>
      </c>
      <c r="CI117" s="95" t="inlineStr">
        <is>
          <t>-0,01%</t>
        </is>
      </c>
      <c r="CJ117" s="96" t="inlineStr">
        <is>
          <t>-9,37%</t>
        </is>
      </c>
      <c r="CK117" s="97" t="inlineStr">
        <is>
          <t>-1,26%</t>
        </is>
      </c>
      <c r="CL117" s="98" t="inlineStr">
        <is>
          <t>18</t>
        </is>
      </c>
      <c r="CM117" s="99" t="inlineStr">
        <is>
          <t>0,66%</t>
        </is>
      </c>
      <c r="CN117" s="100" t="inlineStr">
        <is>
          <t>92</t>
        </is>
      </c>
      <c r="CO117" s="101" t="inlineStr">
        <is>
          <t>-3,03%</t>
        </is>
      </c>
      <c r="CP117" s="102" t="inlineStr">
        <is>
          <t>27</t>
        </is>
      </c>
      <c r="CQ117" s="103" t="inlineStr">
        <is>
          <t>0,51%</t>
        </is>
      </c>
      <c r="CR117" s="104" t="inlineStr">
        <is>
          <t>92</t>
        </is>
      </c>
      <c r="CS117" s="105" t="inlineStr">
        <is>
          <t>0,85%</t>
        </is>
      </c>
      <c r="CT117" s="106" t="inlineStr">
        <is>
          <t>93</t>
        </is>
      </c>
      <c r="CU117" s="107" t="inlineStr">
        <is>
          <t>0,47%</t>
        </is>
      </c>
      <c r="CV117" s="108" t="inlineStr">
        <is>
          <t>90</t>
        </is>
      </c>
      <c r="CW117" s="109" t="inlineStr">
        <is>
          <t>1,84x</t>
        </is>
      </c>
      <c r="CX117" s="110" t="inlineStr">
        <is>
          <t>63</t>
        </is>
      </c>
      <c r="CY117" s="111" t="inlineStr">
        <is>
          <t>0,00x</t>
        </is>
      </c>
      <c r="CZ117" s="112" t="inlineStr">
        <is>
          <t>-0,07%</t>
        </is>
      </c>
      <c r="DA117" s="113" t="inlineStr">
        <is>
          <t>3,66x</t>
        </is>
      </c>
      <c r="DB117" s="114" t="inlineStr">
        <is>
          <t>77</t>
        </is>
      </c>
      <c r="DC117" s="115" t="inlineStr">
        <is>
          <t>1,65x</t>
        </is>
      </c>
      <c r="DD117" s="116" t="inlineStr">
        <is>
          <t>58</t>
        </is>
      </c>
      <c r="DE117" s="117" t="inlineStr">
        <is>
          <t>3,82x</t>
        </is>
      </c>
      <c r="DF117" s="118" t="inlineStr">
        <is>
          <t>77</t>
        </is>
      </c>
      <c r="DG117" s="119" t="inlineStr">
        <is>
          <t>3,50x</t>
        </is>
      </c>
      <c r="DH117" s="120" t="inlineStr">
        <is>
          <t>74</t>
        </is>
      </c>
      <c r="DI117" s="121" t="inlineStr">
        <is>
          <t>0,14x</t>
        </is>
      </c>
      <c r="DJ117" s="122" t="inlineStr">
        <is>
          <t>18</t>
        </is>
      </c>
      <c r="DK117" s="123" t="inlineStr">
        <is>
          <t>3,16x</t>
        </is>
      </c>
      <c r="DL117" s="124" t="inlineStr">
        <is>
          <t>72</t>
        </is>
      </c>
      <c r="DM117" s="125" t="inlineStr">
        <is>
          <t>1.423</t>
        </is>
      </c>
      <c r="DN117" s="126" t="inlineStr">
        <is>
          <t>-19</t>
        </is>
      </c>
      <c r="DO117" s="127" t="inlineStr">
        <is>
          <t>-1,32%</t>
        </is>
      </c>
      <c r="DP117" s="128" t="inlineStr">
        <is>
          <t>107</t>
        </is>
      </c>
      <c r="DQ117" s="129" t="inlineStr">
        <is>
          <t>1</t>
        </is>
      </c>
      <c r="DR117" s="130" t="inlineStr">
        <is>
          <t>0,94%</t>
        </is>
      </c>
      <c r="DS117" s="131" t="inlineStr">
        <is>
          <t>125</t>
        </is>
      </c>
      <c r="DT117" s="132" t="inlineStr">
        <is>
          <t>0</t>
        </is>
      </c>
      <c r="DU117" s="133" t="inlineStr">
        <is>
          <t>0,00%</t>
        </is>
      </c>
      <c r="DV117" s="134" t="inlineStr">
        <is>
          <t>1.179</t>
        </is>
      </c>
      <c r="DW117" s="135" t="inlineStr">
        <is>
          <t>3</t>
        </is>
      </c>
      <c r="DX117" s="136" t="inlineStr">
        <is>
          <t>0,26%</t>
        </is>
      </c>
      <c r="DY117" s="137" t="inlineStr">
        <is>
          <t>PitchBook Research</t>
        </is>
      </c>
      <c r="DZ117" s="785">
        <f>HYPERLINK("https://my.pitchbook.com?c=58093-39", "View company online")</f>
      </c>
    </row>
    <row r="118">
      <c r="A118" s="139" t="inlineStr">
        <is>
          <t>118285-66</t>
        </is>
      </c>
      <c r="B118" s="140" t="inlineStr">
        <is>
          <t>POD Point</t>
        </is>
      </c>
      <c r="C118" s="141" t="inlineStr">
        <is>
          <t>ECC Infracharge, Infracharge</t>
        </is>
      </c>
      <c r="D118" s="142" t="inlineStr">
        <is>
          <t/>
        </is>
      </c>
      <c r="E118" s="143" t="inlineStr">
        <is>
          <t>118285-66</t>
        </is>
      </c>
      <c r="F118" s="144" t="inlineStr">
        <is>
          <t>Developer of electric vehicle charging systems designed to make charging point available everywhere a car is parked for more than an hour. The company's electric vehicle charging system consist of charging points for electric cars that enables people to charge their cars wherever they park it, enabling electric vehicle users with ease of traveling.</t>
        </is>
      </c>
      <c r="G118" s="145" t="inlineStr">
        <is>
          <t>Business Products and Services (B2B)</t>
        </is>
      </c>
      <c r="H118" s="146" t="inlineStr">
        <is>
          <t>Commercial Services</t>
        </is>
      </c>
      <c r="I118" s="147" t="inlineStr">
        <is>
          <t>Other Commercial Services</t>
        </is>
      </c>
      <c r="J118" s="148" t="inlineStr">
        <is>
          <t>Other Commercial Services*; Other Services (B2C Non-Financial); Automotive</t>
        </is>
      </c>
      <c r="K118" s="149" t="inlineStr">
        <is>
          <t>CleanTech, LOHAS &amp; Wellness</t>
        </is>
      </c>
      <c r="L118" s="150" t="inlineStr">
        <is>
          <t>Venture Capital-Backed</t>
        </is>
      </c>
      <c r="M118" s="151" t="n">
        <v>14.72</v>
      </c>
      <c r="N118" s="152" t="inlineStr">
        <is>
          <t>Profitable</t>
        </is>
      </c>
      <c r="O118" s="153" t="inlineStr">
        <is>
          <t>Privately Held (backing)</t>
        </is>
      </c>
      <c r="P118" s="154" t="inlineStr">
        <is>
          <t>Venture Capital</t>
        </is>
      </c>
      <c r="Q118" s="155" t="inlineStr">
        <is>
          <t>www.pod-point.com</t>
        </is>
      </c>
      <c r="R118" s="156" t="n">
        <v>53.0</v>
      </c>
      <c r="S118" s="157" t="inlineStr">
        <is>
          <t/>
        </is>
      </c>
      <c r="T118" s="158" t="inlineStr">
        <is>
          <t/>
        </is>
      </c>
      <c r="U118" s="159" t="n">
        <v>2009.0</v>
      </c>
      <c r="V118" s="160" t="inlineStr">
        <is>
          <t/>
        </is>
      </c>
      <c r="W118" s="161" t="inlineStr">
        <is>
          <t/>
        </is>
      </c>
      <c r="X118" s="162" t="inlineStr">
        <is>
          <t/>
        </is>
      </c>
      <c r="Y118" s="163" t="n">
        <v>10.2135</v>
      </c>
      <c r="Z118" s="164" t="inlineStr">
        <is>
          <t/>
        </is>
      </c>
      <c r="AA118" s="165" t="inlineStr">
        <is>
          <t/>
        </is>
      </c>
      <c r="AB118" s="166" t="inlineStr">
        <is>
          <t/>
        </is>
      </c>
      <c r="AC118" s="167" t="inlineStr">
        <is>
          <t/>
        </is>
      </c>
      <c r="AD118" s="168" t="inlineStr">
        <is>
          <t>FY 2017</t>
        </is>
      </c>
      <c r="AE118" s="169" t="inlineStr">
        <is>
          <t>132346-45P</t>
        </is>
      </c>
      <c r="AF118" s="170" t="inlineStr">
        <is>
          <t>Erik Fairbairn</t>
        </is>
      </c>
      <c r="AG118" s="171" t="inlineStr">
        <is>
          <t>Founder &amp; Chief Executive Officer</t>
        </is>
      </c>
      <c r="AH118" s="172" t="inlineStr">
        <is>
          <t>erik.fairbairn@pod-point.com</t>
        </is>
      </c>
      <c r="AI118" s="173" t="inlineStr">
        <is>
          <t>+44 (0)20 7247 4114</t>
        </is>
      </c>
      <c r="AJ118" s="174" t="inlineStr">
        <is>
          <t>London, United Kingdom</t>
        </is>
      </c>
      <c r="AK118" s="175" t="inlineStr">
        <is>
          <t>Discovery House</t>
        </is>
      </c>
      <c r="AL118" s="176" t="inlineStr">
        <is>
          <t>28-42 Banner Street</t>
        </is>
      </c>
      <c r="AM118" s="177" t="inlineStr">
        <is>
          <t>London</t>
        </is>
      </c>
      <c r="AN118" s="178" t="inlineStr">
        <is>
          <t>England</t>
        </is>
      </c>
      <c r="AO118" s="179" t="inlineStr">
        <is>
          <t>EC1Y 8QE</t>
        </is>
      </c>
      <c r="AP118" s="180" t="inlineStr">
        <is>
          <t>United Kingdom</t>
        </is>
      </c>
      <c r="AQ118" s="181" t="inlineStr">
        <is>
          <t>+44 (0)20 7247 4114</t>
        </is>
      </c>
      <c r="AR118" s="182" t="inlineStr">
        <is>
          <t/>
        </is>
      </c>
      <c r="AS118" s="183" t="inlineStr">
        <is>
          <t>hello@pod-point.com</t>
        </is>
      </c>
      <c r="AT118" s="184" t="inlineStr">
        <is>
          <t>Europe</t>
        </is>
      </c>
      <c r="AU118" s="185" t="inlineStr">
        <is>
          <t>Western Europe</t>
        </is>
      </c>
      <c r="AV118" s="186" t="inlineStr">
        <is>
          <t>The company raised GBP 9.05 million of venture funding through a combination of debt and equity on March 12, 2017. GBP 5 million of Series C ventures funding was led by Draper Esprit, which included GBP 3 million for new shares and GBP 2 million for secondaries with participation from individual investors providing GBP 550,000 and GBP 1.5 million of angel funding raised via crowdfunding platform Crowdcube. A GBP 2 million of venture debt was provided by Barclays Capital. The new investment will be used to expand the charging infrastructure needed for widespread adoption of electric vehicles and to increase their next stage of growth and expand across the UK and Europe.</t>
        </is>
      </c>
      <c r="AW118" s="187" t="inlineStr">
        <is>
          <t>Draper Esprit</t>
        </is>
      </c>
      <c r="AX118" s="188" t="n">
        <v>1.0</v>
      </c>
      <c r="AY118" s="189" t="inlineStr">
        <is>
          <t/>
        </is>
      </c>
      <c r="AZ118" s="190" t="inlineStr">
        <is>
          <t/>
        </is>
      </c>
      <c r="BA118" s="191" t="inlineStr">
        <is>
          <t/>
        </is>
      </c>
      <c r="BB118" s="192" t="inlineStr">
        <is>
          <t>Draper Esprit (www.draperesprit.com)</t>
        </is>
      </c>
      <c r="BC118" s="193" t="inlineStr">
        <is>
          <t/>
        </is>
      </c>
      <c r="BD118" s="194" t="inlineStr">
        <is>
          <t/>
        </is>
      </c>
      <c r="BE118" s="195" t="inlineStr">
        <is>
          <t>Wellers Accountants (Auditor)</t>
        </is>
      </c>
      <c r="BF118" s="196" t="inlineStr">
        <is>
          <t>Crowdcube (Lead Manager or Arranger), Barclays Bank (Debt Financing), Seedrs (Lead Manager or Arranger)</t>
        </is>
      </c>
      <c r="BG118" s="197" t="n">
        <v>41981.0</v>
      </c>
      <c r="BH118" s="198" t="n">
        <v>1.84</v>
      </c>
      <c r="BI118" s="199" t="inlineStr">
        <is>
          <t>Actual</t>
        </is>
      </c>
      <c r="BJ118" s="200" t="n">
        <v>18.77</v>
      </c>
      <c r="BK118" s="201" t="inlineStr">
        <is>
          <t>Actual</t>
        </is>
      </c>
      <c r="BL118" s="202" t="inlineStr">
        <is>
          <t>Angel (individual)</t>
        </is>
      </c>
      <c r="BM118" s="203" t="inlineStr">
        <is>
          <t>Angel</t>
        </is>
      </c>
      <c r="BN118" s="204" t="inlineStr">
        <is>
          <t/>
        </is>
      </c>
      <c r="BO118" s="205" t="inlineStr">
        <is>
          <t>Individual</t>
        </is>
      </c>
      <c r="BP118" s="206" t="inlineStr">
        <is>
          <t/>
        </is>
      </c>
      <c r="BQ118" s="207" t="inlineStr">
        <is>
          <t/>
        </is>
      </c>
      <c r="BR118" s="208" t="inlineStr">
        <is>
          <t/>
        </is>
      </c>
      <c r="BS118" s="209" t="inlineStr">
        <is>
          <t>Completed</t>
        </is>
      </c>
      <c r="BT118" s="210" t="n">
        <v>42806.0</v>
      </c>
      <c r="BU118" s="211" t="n">
        <v>10.44</v>
      </c>
      <c r="BV118" s="212" t="inlineStr">
        <is>
          <t>Actual</t>
        </is>
      </c>
      <c r="BW118" s="213" t="inlineStr">
        <is>
          <t/>
        </is>
      </c>
      <c r="BX118" s="214" t="inlineStr">
        <is>
          <t/>
        </is>
      </c>
      <c r="BY118" s="215" t="inlineStr">
        <is>
          <t>Later Stage VC</t>
        </is>
      </c>
      <c r="BZ118" s="216" t="inlineStr">
        <is>
          <t>Series C</t>
        </is>
      </c>
      <c r="CA118" s="217" t="inlineStr">
        <is>
          <t/>
        </is>
      </c>
      <c r="CB118" s="218" t="inlineStr">
        <is>
          <t>Venture Capital</t>
        </is>
      </c>
      <c r="CC118" s="219" t="inlineStr">
        <is>
          <t>Other Debt</t>
        </is>
      </c>
      <c r="CD118" s="220" t="inlineStr">
        <is>
          <t/>
        </is>
      </c>
      <c r="CE118" s="221" t="inlineStr">
        <is>
          <t/>
        </is>
      </c>
      <c r="CF118" s="222" t="inlineStr">
        <is>
          <t>Completed</t>
        </is>
      </c>
      <c r="CG118" s="223" t="inlineStr">
        <is>
          <t>-3,84%</t>
        </is>
      </c>
      <c r="CH118" s="224" t="inlineStr">
        <is>
          <t>5</t>
        </is>
      </c>
      <c r="CI118" s="225" t="inlineStr">
        <is>
          <t>0,09%</t>
        </is>
      </c>
      <c r="CJ118" s="226" t="inlineStr">
        <is>
          <t>2,24%</t>
        </is>
      </c>
      <c r="CK118" s="227" t="inlineStr">
        <is>
          <t>-8,39%</t>
        </is>
      </c>
      <c r="CL118" s="228" t="inlineStr">
        <is>
          <t>4</t>
        </is>
      </c>
      <c r="CM118" s="229" t="inlineStr">
        <is>
          <t>0,70%</t>
        </is>
      </c>
      <c r="CN118" s="230" t="inlineStr">
        <is>
          <t>93</t>
        </is>
      </c>
      <c r="CO118" s="231" t="inlineStr">
        <is>
          <t>-16,09%</t>
        </is>
      </c>
      <c r="CP118" s="232" t="inlineStr">
        <is>
          <t>8</t>
        </is>
      </c>
      <c r="CQ118" s="233" t="inlineStr">
        <is>
          <t>-0,69%</t>
        </is>
      </c>
      <c r="CR118" s="234" t="inlineStr">
        <is>
          <t>13</t>
        </is>
      </c>
      <c r="CS118" s="235" t="inlineStr">
        <is>
          <t>0,87%</t>
        </is>
      </c>
      <c r="CT118" s="236" t="inlineStr">
        <is>
          <t>93</t>
        </is>
      </c>
      <c r="CU118" s="237" t="inlineStr">
        <is>
          <t>0,53%</t>
        </is>
      </c>
      <c r="CV118" s="238" t="inlineStr">
        <is>
          <t>92</t>
        </is>
      </c>
      <c r="CW118" s="239" t="inlineStr">
        <is>
          <t>7,66x</t>
        </is>
      </c>
      <c r="CX118" s="240" t="inlineStr">
        <is>
          <t>85</t>
        </is>
      </c>
      <c r="CY118" s="241" t="inlineStr">
        <is>
          <t>0,03x</t>
        </is>
      </c>
      <c r="CZ118" s="242" t="inlineStr">
        <is>
          <t>0,40%</t>
        </is>
      </c>
      <c r="DA118" s="243" t="inlineStr">
        <is>
          <t>6,22x</t>
        </is>
      </c>
      <c r="DB118" s="244" t="inlineStr">
        <is>
          <t>84</t>
        </is>
      </c>
      <c r="DC118" s="245" t="inlineStr">
        <is>
          <t>9,11x</t>
        </is>
      </c>
      <c r="DD118" s="246" t="inlineStr">
        <is>
          <t>83</t>
        </is>
      </c>
      <c r="DE118" s="247" t="inlineStr">
        <is>
          <t>6,60x</t>
        </is>
      </c>
      <c r="DF118" s="248" t="inlineStr">
        <is>
          <t>84</t>
        </is>
      </c>
      <c r="DG118" s="249" t="inlineStr">
        <is>
          <t>5,83x</t>
        </is>
      </c>
      <c r="DH118" s="250" t="inlineStr">
        <is>
          <t>81</t>
        </is>
      </c>
      <c r="DI118" s="251" t="inlineStr">
        <is>
          <t>2,04x</t>
        </is>
      </c>
      <c r="DJ118" s="252" t="inlineStr">
        <is>
          <t>62</t>
        </is>
      </c>
      <c r="DK118" s="253" t="inlineStr">
        <is>
          <t>16,18x</t>
        </is>
      </c>
      <c r="DL118" s="254" t="inlineStr">
        <is>
          <t>91</t>
        </is>
      </c>
      <c r="DM118" s="255" t="inlineStr">
        <is>
          <t>2.424</t>
        </is>
      </c>
      <c r="DN118" s="256" t="inlineStr">
        <is>
          <t>130</t>
        </is>
      </c>
      <c r="DO118" s="257" t="inlineStr">
        <is>
          <t>5,67%</t>
        </is>
      </c>
      <c r="DP118" s="258" t="inlineStr">
        <is>
          <t>1.556</t>
        </is>
      </c>
      <c r="DQ118" s="259" t="inlineStr">
        <is>
          <t>47</t>
        </is>
      </c>
      <c r="DR118" s="260" t="inlineStr">
        <is>
          <t>3,11%</t>
        </is>
      </c>
      <c r="DS118" s="261" t="inlineStr">
        <is>
          <t>209</t>
        </is>
      </c>
      <c r="DT118" s="262" t="inlineStr">
        <is>
          <t>1</t>
        </is>
      </c>
      <c r="DU118" s="263" t="inlineStr">
        <is>
          <t>0,48%</t>
        </is>
      </c>
      <c r="DV118" s="264" t="inlineStr">
        <is>
          <t>6.030</t>
        </is>
      </c>
      <c r="DW118" s="265" t="inlineStr">
        <is>
          <t>40</t>
        </is>
      </c>
      <c r="DX118" s="266" t="inlineStr">
        <is>
          <t>0,67%</t>
        </is>
      </c>
      <c r="DY118" s="267" t="inlineStr">
        <is>
          <t>PitchBook Research</t>
        </is>
      </c>
      <c r="DZ118" s="786">
        <f>HYPERLINK("https://my.pitchbook.com?c=118285-66", "View company online")</f>
      </c>
    </row>
    <row r="119">
      <c r="A119" s="9" t="inlineStr">
        <is>
          <t>55453-60</t>
        </is>
      </c>
      <c r="B119" s="10" t="inlineStr">
        <is>
          <t>IOVOX Enterprise</t>
        </is>
      </c>
      <c r="C119" s="11" t="inlineStr">
        <is>
          <t/>
        </is>
      </c>
      <c r="D119" s="12" t="inlineStr">
        <is>
          <t/>
        </is>
      </c>
      <c r="E119" s="13" t="inlineStr">
        <is>
          <t>55453-60</t>
        </is>
      </c>
      <c r="F119" s="14" t="inlineStr">
        <is>
          <t>Provider of real-time call tracking and phone analytics designed to make data from business phone calls as useful, actionable, and valuable as email or chat. The company offers a VaaS (Voice as a Service) platform IOVOX Insights, that gives real-time visibility into telephone traffic, it analyzes the effectiveness of telephone marketing campaigns enabling businesses improve efficiency, deliver better customer service, and become more profitable in short order.</t>
        </is>
      </c>
      <c r="G119" s="15" t="inlineStr">
        <is>
          <t>Information Technology</t>
        </is>
      </c>
      <c r="H119" s="16" t="inlineStr">
        <is>
          <t>Communications and Networking</t>
        </is>
      </c>
      <c r="I119" s="17" t="inlineStr">
        <is>
          <t>Other Communications and Networking</t>
        </is>
      </c>
      <c r="J119" s="18" t="inlineStr">
        <is>
          <t>Other Communications and Networking*; Automation/Workflow Software; Business/Productivity Software</t>
        </is>
      </c>
      <c r="K119" s="19" t="inlineStr">
        <is>
          <t>SaaS</t>
        </is>
      </c>
      <c r="L119" s="20" t="inlineStr">
        <is>
          <t>Venture Capital-Backed</t>
        </is>
      </c>
      <c r="M119" s="21" t="n">
        <v>14.12</v>
      </c>
      <c r="N119" s="22" t="inlineStr">
        <is>
          <t>Generating Revenue</t>
        </is>
      </c>
      <c r="O119" s="23" t="inlineStr">
        <is>
          <t>Privately Held (backing)</t>
        </is>
      </c>
      <c r="P119" s="24" t="inlineStr">
        <is>
          <t>Venture Capital</t>
        </is>
      </c>
      <c r="Q119" s="25" t="inlineStr">
        <is>
          <t>enterprise.iovox.com</t>
        </is>
      </c>
      <c r="R119" s="26" t="n">
        <v>38.0</v>
      </c>
      <c r="S119" s="27" t="inlineStr">
        <is>
          <t/>
        </is>
      </c>
      <c r="T119" s="28" t="inlineStr">
        <is>
          <t/>
        </is>
      </c>
      <c r="U119" s="29" t="n">
        <v>2007.0</v>
      </c>
      <c r="V119" s="30" t="inlineStr">
        <is>
          <t/>
        </is>
      </c>
      <c r="W119" s="31" t="inlineStr">
        <is>
          <t/>
        </is>
      </c>
      <c r="X119" s="32" t="inlineStr">
        <is>
          <t/>
        </is>
      </c>
      <c r="Y119" s="33" t="n">
        <v>3.33904</v>
      </c>
      <c r="Z119" s="34" t="n">
        <v>2.45685</v>
      </c>
      <c r="AA119" s="35" t="inlineStr">
        <is>
          <t/>
        </is>
      </c>
      <c r="AB119" s="36" t="inlineStr">
        <is>
          <t/>
        </is>
      </c>
      <c r="AC119" s="37" t="n">
        <v>-1.06242</v>
      </c>
      <c r="AD119" s="38" t="inlineStr">
        <is>
          <t>FY 2016</t>
        </is>
      </c>
      <c r="AE119" s="39" t="inlineStr">
        <is>
          <t>55743-49P</t>
        </is>
      </c>
      <c r="AF119" s="40" t="inlineStr">
        <is>
          <t>Ryan Gallagher</t>
        </is>
      </c>
      <c r="AG119" s="41" t="inlineStr">
        <is>
          <t>Co-Founder, Chief Executive Officer &amp; Board Member</t>
        </is>
      </c>
      <c r="AH119" s="42" t="inlineStr">
        <is>
          <t>ryan@iovox.com</t>
        </is>
      </c>
      <c r="AI119" s="43" t="inlineStr">
        <is>
          <t>+44 (0)20 7099 1070</t>
        </is>
      </c>
      <c r="AJ119" s="44" t="inlineStr">
        <is>
          <t>London, United Kingdom</t>
        </is>
      </c>
      <c r="AK119" s="45" t="inlineStr">
        <is>
          <t>99C Talbot Road</t>
        </is>
      </c>
      <c r="AL119" s="46" t="inlineStr">
        <is>
          <t>Notting Hill</t>
        </is>
      </c>
      <c r="AM119" s="47" t="inlineStr">
        <is>
          <t>London</t>
        </is>
      </c>
      <c r="AN119" s="48" t="inlineStr">
        <is>
          <t>England</t>
        </is>
      </c>
      <c r="AO119" s="49" t="inlineStr">
        <is>
          <t>W11 2AT</t>
        </is>
      </c>
      <c r="AP119" s="50" t="inlineStr">
        <is>
          <t>United Kingdom</t>
        </is>
      </c>
      <c r="AQ119" s="51" t="inlineStr">
        <is>
          <t>+44 (0)20 7099 1070</t>
        </is>
      </c>
      <c r="AR119" s="52" t="inlineStr">
        <is>
          <t/>
        </is>
      </c>
      <c r="AS119" s="53" t="inlineStr">
        <is>
          <t>hello@iovox.com</t>
        </is>
      </c>
      <c r="AT119" s="54" t="inlineStr">
        <is>
          <t>Europe</t>
        </is>
      </c>
      <c r="AU119" s="55" t="inlineStr">
        <is>
          <t>Western Europe</t>
        </is>
      </c>
      <c r="AV119" s="56" t="inlineStr">
        <is>
          <t>The company raised GBP 9.1 million of Series A venture funding through a combination of debt and equity on February 15, 2017, putting the pre-money valuation at GBP 13.05 million. The equity portion of Series A funding was led by Octopus Ventures and SF Capital with participation from undisclosed investors while the debt portion was provided by Silicon Valley Bank. The company will use the funding to expand in the United States and execute a product strategy to widen the addressable market for IOVOX services.</t>
        </is>
      </c>
      <c r="AW119" s="57" t="inlineStr">
        <is>
          <t>Innova Kapital, Luke Hakes, Malcolm Ferguson, Octopus Ventures, Phillip Burns, SF Capital</t>
        </is>
      </c>
      <c r="AX119" s="58" t="n">
        <v>6.0</v>
      </c>
      <c r="AY119" s="59" t="inlineStr">
        <is>
          <t/>
        </is>
      </c>
      <c r="AZ119" s="60" t="inlineStr">
        <is>
          <t/>
        </is>
      </c>
      <c r="BA119" s="61" t="inlineStr">
        <is>
          <t/>
        </is>
      </c>
      <c r="BB119" s="62" t="inlineStr">
        <is>
          <t>Innova Kapital (www.innovakapital.com), Octopus Ventures (www.octopusventures.com)</t>
        </is>
      </c>
      <c r="BC119" s="63" t="inlineStr">
        <is>
          <t/>
        </is>
      </c>
      <c r="BD119" s="64" t="inlineStr">
        <is>
          <t/>
        </is>
      </c>
      <c r="BE119" s="65" t="inlineStr">
        <is>
          <t/>
        </is>
      </c>
      <c r="BF119" s="66" t="inlineStr">
        <is>
          <t>Silicon Valley Bank (Debt Financing)</t>
        </is>
      </c>
      <c r="BG119" s="67" t="n">
        <v>42624.0</v>
      </c>
      <c r="BH119" s="68" t="n">
        <v>3.44</v>
      </c>
      <c r="BI119" s="69" t="inlineStr">
        <is>
          <t>Actual</t>
        </is>
      </c>
      <c r="BJ119" s="70" t="n">
        <v>11.99</v>
      </c>
      <c r="BK119" s="71" t="inlineStr">
        <is>
          <t>Actual</t>
        </is>
      </c>
      <c r="BL119" s="72" t="inlineStr">
        <is>
          <t>Early Stage VC</t>
        </is>
      </c>
      <c r="BM119" s="73" t="inlineStr">
        <is>
          <t/>
        </is>
      </c>
      <c r="BN119" s="74" t="inlineStr">
        <is>
          <t/>
        </is>
      </c>
      <c r="BO119" s="75" t="inlineStr">
        <is>
          <t>Venture Capital</t>
        </is>
      </c>
      <c r="BP119" s="76" t="inlineStr">
        <is>
          <t/>
        </is>
      </c>
      <c r="BQ119" s="77" t="inlineStr">
        <is>
          <t/>
        </is>
      </c>
      <c r="BR119" s="78" t="inlineStr">
        <is>
          <t/>
        </is>
      </c>
      <c r="BS119" s="79" t="inlineStr">
        <is>
          <t>Completed</t>
        </is>
      </c>
      <c r="BT119" s="80" t="n">
        <v>42781.0</v>
      </c>
      <c r="BU119" s="81" t="n">
        <v>10.68</v>
      </c>
      <c r="BV119" s="82" t="inlineStr">
        <is>
          <t>Actual</t>
        </is>
      </c>
      <c r="BW119" s="83" t="n">
        <v>25.98</v>
      </c>
      <c r="BX119" s="84" t="inlineStr">
        <is>
          <t>Actual</t>
        </is>
      </c>
      <c r="BY119" s="85" t="inlineStr">
        <is>
          <t>Later Stage VC</t>
        </is>
      </c>
      <c r="BZ119" s="86" t="inlineStr">
        <is>
          <t>Series A</t>
        </is>
      </c>
      <c r="CA119" s="87" t="inlineStr">
        <is>
          <t/>
        </is>
      </c>
      <c r="CB119" s="88" t="inlineStr">
        <is>
          <t>Venture Capital</t>
        </is>
      </c>
      <c r="CC119" s="89" t="inlineStr">
        <is>
          <t>Other Debt</t>
        </is>
      </c>
      <c r="CD119" s="90" t="inlineStr">
        <is>
          <t/>
        </is>
      </c>
      <c r="CE119" s="91" t="inlineStr">
        <is>
          <t/>
        </is>
      </c>
      <c r="CF119" s="92" t="inlineStr">
        <is>
          <t>Completed</t>
        </is>
      </c>
      <c r="CG119" s="93" t="inlineStr">
        <is>
          <t>0,07%</t>
        </is>
      </c>
      <c r="CH119" s="94" t="inlineStr">
        <is>
          <t>80</t>
        </is>
      </c>
      <c r="CI119" s="95" t="inlineStr">
        <is>
          <t>0,00%</t>
        </is>
      </c>
      <c r="CJ119" s="96" t="inlineStr">
        <is>
          <t>-1,70%</t>
        </is>
      </c>
      <c r="CK119" s="97" t="inlineStr">
        <is>
          <t>0,00%</t>
        </is>
      </c>
      <c r="CL119" s="98" t="inlineStr">
        <is>
          <t>28</t>
        </is>
      </c>
      <c r="CM119" s="99" t="inlineStr">
        <is>
          <t>0,14%</t>
        </is>
      </c>
      <c r="CN119" s="100" t="inlineStr">
        <is>
          <t>64</t>
        </is>
      </c>
      <c r="CO119" s="101" t="inlineStr">
        <is>
          <t>0,00%</t>
        </is>
      </c>
      <c r="CP119" s="102" t="inlineStr">
        <is>
          <t>37</t>
        </is>
      </c>
      <c r="CQ119" s="103" t="inlineStr">
        <is>
          <t/>
        </is>
      </c>
      <c r="CR119" s="104" t="inlineStr">
        <is>
          <t/>
        </is>
      </c>
      <c r="CS119" s="105" t="inlineStr">
        <is>
          <t>0,35%</t>
        </is>
      </c>
      <c r="CT119" s="106" t="inlineStr">
        <is>
          <t>81</t>
        </is>
      </c>
      <c r="CU119" s="107" t="inlineStr">
        <is>
          <t>-0,08%</t>
        </is>
      </c>
      <c r="CV119" s="108" t="inlineStr">
        <is>
          <t>9</t>
        </is>
      </c>
      <c r="CW119" s="109" t="inlineStr">
        <is>
          <t>35,73x</t>
        </is>
      </c>
      <c r="CX119" s="110" t="inlineStr">
        <is>
          <t>95</t>
        </is>
      </c>
      <c r="CY119" s="111" t="inlineStr">
        <is>
          <t>-0,42x</t>
        </is>
      </c>
      <c r="CZ119" s="112" t="inlineStr">
        <is>
          <t>-1,16%</t>
        </is>
      </c>
      <c r="DA119" s="113" t="inlineStr">
        <is>
          <t>0,24x</t>
        </is>
      </c>
      <c r="DB119" s="114" t="inlineStr">
        <is>
          <t>20</t>
        </is>
      </c>
      <c r="DC119" s="115" t="inlineStr">
        <is>
          <t>71,21x</t>
        </is>
      </c>
      <c r="DD119" s="116" t="inlineStr">
        <is>
          <t>96</t>
        </is>
      </c>
      <c r="DE119" s="117" t="inlineStr">
        <is>
          <t>0,24x</t>
        </is>
      </c>
      <c r="DF119" s="118" t="inlineStr">
        <is>
          <t>17</t>
        </is>
      </c>
      <c r="DG119" s="119" t="inlineStr">
        <is>
          <t/>
        </is>
      </c>
      <c r="DH119" s="120" t="inlineStr">
        <is>
          <t/>
        </is>
      </c>
      <c r="DI119" s="121" t="inlineStr">
        <is>
          <t>0,50x</t>
        </is>
      </c>
      <c r="DJ119" s="122" t="inlineStr">
        <is>
          <t>39</t>
        </is>
      </c>
      <c r="DK119" s="123" t="inlineStr">
        <is>
          <t>141,92x</t>
        </is>
      </c>
      <c r="DL119" s="124" t="inlineStr">
        <is>
          <t>99</t>
        </is>
      </c>
      <c r="DM119" s="125" t="inlineStr">
        <is>
          <t>89</t>
        </is>
      </c>
      <c r="DN119" s="126" t="inlineStr">
        <is>
          <t>3</t>
        </is>
      </c>
      <c r="DO119" s="127" t="inlineStr">
        <is>
          <t>3,49%</t>
        </is>
      </c>
      <c r="DP119" s="128" t="inlineStr">
        <is>
          <t>397</t>
        </is>
      </c>
      <c r="DQ119" s="129" t="inlineStr">
        <is>
          <t>1</t>
        </is>
      </c>
      <c r="DR119" s="130" t="inlineStr">
        <is>
          <t>0,25%</t>
        </is>
      </c>
      <c r="DS119" s="131" t="inlineStr">
        <is>
          <t/>
        </is>
      </c>
      <c r="DT119" s="132" t="inlineStr">
        <is>
          <t/>
        </is>
      </c>
      <c r="DU119" s="133" t="inlineStr">
        <is>
          <t/>
        </is>
      </c>
      <c r="DV119" s="134" t="inlineStr">
        <is>
          <t>53.098</t>
        </is>
      </c>
      <c r="DW119" s="135" t="inlineStr">
        <is>
          <t>-30</t>
        </is>
      </c>
      <c r="DX119" s="136" t="inlineStr">
        <is>
          <t>-0,06%</t>
        </is>
      </c>
      <c r="DY119" s="137" t="inlineStr">
        <is>
          <t>PitchBook Research</t>
        </is>
      </c>
      <c r="DZ119" s="785">
        <f>HYPERLINK("https://my.pitchbook.com?c=55453-60", "View company online")</f>
      </c>
    </row>
    <row r="120">
      <c r="A120" s="139" t="inlineStr">
        <is>
          <t>54705-70</t>
        </is>
      </c>
      <c r="B120" s="140" t="inlineStr">
        <is>
          <t>Alltricks</t>
        </is>
      </c>
      <c r="C120" s="141" t="inlineStr">
        <is>
          <t/>
        </is>
      </c>
      <c r="D120" s="142" t="inlineStr">
        <is>
          <t>Alltricks.com</t>
        </is>
      </c>
      <c r="E120" s="143" t="inlineStr">
        <is>
          <t>54705-70</t>
        </is>
      </c>
      <c r="F120" s="144" t="inlineStr">
        <is>
          <t>Operator of an e-commerce platform designed to sell bicycle spare parts and accessories. The company's e-commerce platform offers custom workshops and online auction of bicycles, bicycle parts and accessories from over 500 different brands, enabling customers to buy cycling parts and accessories at discounted rates.</t>
        </is>
      </c>
      <c r="G120" s="145" t="inlineStr">
        <is>
          <t>Consumer Products and Services (B2C)</t>
        </is>
      </c>
      <c r="H120" s="146" t="inlineStr">
        <is>
          <t>Retail</t>
        </is>
      </c>
      <c r="I120" s="147" t="inlineStr">
        <is>
          <t>Internet Retail</t>
        </is>
      </c>
      <c r="J120" s="148" t="inlineStr">
        <is>
          <t>Internet Retail*; Other Consumer Durables; Catalog Retail; Specialty Retail</t>
        </is>
      </c>
      <c r="K120" s="149" t="inlineStr">
        <is>
          <t>E-Commerce</t>
        </is>
      </c>
      <c r="L120" s="150" t="inlineStr">
        <is>
          <t>Venture Capital-Backed</t>
        </is>
      </c>
      <c r="M120" s="151" t="n">
        <v>14.12</v>
      </c>
      <c r="N120" s="152" t="inlineStr">
        <is>
          <t>Generating Revenue</t>
        </is>
      </c>
      <c r="O120" s="153" t="inlineStr">
        <is>
          <t>Privately Held (backing)</t>
        </is>
      </c>
      <c r="P120" s="154" t="inlineStr">
        <is>
          <t>Venture Capital</t>
        </is>
      </c>
      <c r="Q120" s="155" t="inlineStr">
        <is>
          <t>www.alltricks.fr</t>
        </is>
      </c>
      <c r="R120" s="156" t="n">
        <v>130.0</v>
      </c>
      <c r="S120" s="157" t="inlineStr">
        <is>
          <t/>
        </is>
      </c>
      <c r="T120" s="158" t="inlineStr">
        <is>
          <t/>
        </is>
      </c>
      <c r="U120" s="159" t="n">
        <v>2008.0</v>
      </c>
      <c r="V120" s="160" t="inlineStr">
        <is>
          <t/>
        </is>
      </c>
      <c r="W120" s="161" t="inlineStr">
        <is>
          <t/>
        </is>
      </c>
      <c r="X120" s="162" t="inlineStr">
        <is>
          <t/>
        </is>
      </c>
      <c r="Y120" s="163" t="n">
        <v>55.61583</v>
      </c>
      <c r="Z120" s="164" t="inlineStr">
        <is>
          <t/>
        </is>
      </c>
      <c r="AA120" s="165" t="inlineStr">
        <is>
          <t/>
        </is>
      </c>
      <c r="AB120" s="166" t="inlineStr">
        <is>
          <t/>
        </is>
      </c>
      <c r="AC120" s="167" t="inlineStr">
        <is>
          <t/>
        </is>
      </c>
      <c r="AD120" s="168" t="inlineStr">
        <is>
          <t>FY 2016</t>
        </is>
      </c>
      <c r="AE120" s="169" t="inlineStr">
        <is>
          <t>47135-35P</t>
        </is>
      </c>
      <c r="AF120" s="170" t="inlineStr">
        <is>
          <t>Gary Anssens</t>
        </is>
      </c>
      <c r="AG120" s="171" t="inlineStr">
        <is>
          <t>Founder &amp; Chief Executive Officer</t>
        </is>
      </c>
      <c r="AH120" s="172" t="inlineStr">
        <is>
          <t>gary@alltricks.fr</t>
        </is>
      </c>
      <c r="AI120" s="173" t="inlineStr">
        <is>
          <t>+33 (0)1 30 48 90 07</t>
        </is>
      </c>
      <c r="AJ120" s="174" t="inlineStr">
        <is>
          <t>Montigny-le-Bretonneux, France</t>
        </is>
      </c>
      <c r="AK120" s="175" t="inlineStr">
        <is>
          <t>5, Avenue Isaac Newton</t>
        </is>
      </c>
      <c r="AL120" s="176" t="inlineStr">
        <is>
          <t/>
        </is>
      </c>
      <c r="AM120" s="177" t="inlineStr">
        <is>
          <t>Montigny-le-Bretonneux</t>
        </is>
      </c>
      <c r="AN120" s="178" t="inlineStr">
        <is>
          <t/>
        </is>
      </c>
      <c r="AO120" s="179" t="inlineStr">
        <is>
          <t>78180</t>
        </is>
      </c>
      <c r="AP120" s="180" t="inlineStr">
        <is>
          <t>France</t>
        </is>
      </c>
      <c r="AQ120" s="181" t="inlineStr">
        <is>
          <t>+33 (0)1 30 48 90 07</t>
        </is>
      </c>
      <c r="AR120" s="182" t="inlineStr">
        <is>
          <t/>
        </is>
      </c>
      <c r="AS120" s="183" t="inlineStr">
        <is>
          <t>contact@alltricks.fr</t>
        </is>
      </c>
      <c r="AT120" s="184" t="inlineStr">
        <is>
          <t>Europe</t>
        </is>
      </c>
      <c r="AU120" s="185" t="inlineStr">
        <is>
          <t>Western Europe</t>
        </is>
      </c>
      <c r="AV120" s="186" t="inlineStr">
        <is>
          <t>The company raised EUR 7.3 million of venture funding in a deal led by Entrepreneur Venture, 123 Investment Managers and Partech Ventures on July 28, 2017. Sonorfi, Financiere de la Gommerie and four other undisclosed individual investors also led the round. The company will use the funds to continue to expand operations and strengthen its international presence. Earlier, the company raised EUR 2 million of venture funding from Partech Ventures, Fifadev.eco and Halley Participations on November 28, 2016. Financiere De La Gommerie and other undisclosed individual investors also participated in the round.</t>
        </is>
      </c>
      <c r="AW120" s="187" t="inlineStr">
        <is>
          <t>123 Investment Managers, Entrepreneur Venture, Fifadev.eco, Financiere de la Gommerie, Halley Participations, Partech Ventures, Sonorfi</t>
        </is>
      </c>
      <c r="AX120" s="188" t="n">
        <v>7.0</v>
      </c>
      <c r="AY120" s="189" t="inlineStr">
        <is>
          <t/>
        </is>
      </c>
      <c r="AZ120" s="190" t="inlineStr">
        <is>
          <t/>
        </is>
      </c>
      <c r="BA120" s="191" t="inlineStr">
        <is>
          <t/>
        </is>
      </c>
      <c r="BB120" s="192" t="inlineStr">
        <is>
          <t>123 Investment Managers (www.123-im.com), Entrepreneur Venture (www.entrepreneurventure.com), Partech Ventures (www.partechventures.com)</t>
        </is>
      </c>
      <c r="BC120" s="193" t="inlineStr">
        <is>
          <t/>
        </is>
      </c>
      <c r="BD120" s="194" t="inlineStr">
        <is>
          <t/>
        </is>
      </c>
      <c r="BE120" s="195" t="inlineStr">
        <is>
          <t>Orrick, Herrington &amp; Sutcliffe (Legal Advisor)</t>
        </is>
      </c>
      <c r="BF120" s="196" t="inlineStr">
        <is>
          <t>Orrick, Herrington &amp; Sutcliffe (Legal Advisor)</t>
        </is>
      </c>
      <c r="BG120" s="197" t="n">
        <v>40914.0</v>
      </c>
      <c r="BH120" s="198" t="n">
        <v>2.0</v>
      </c>
      <c r="BI120" s="199" t="inlineStr">
        <is>
          <t>Actual</t>
        </is>
      </c>
      <c r="BJ120" s="200" t="inlineStr">
        <is>
          <t/>
        </is>
      </c>
      <c r="BK120" s="201" t="inlineStr">
        <is>
          <t/>
        </is>
      </c>
      <c r="BL120" s="202" t="inlineStr">
        <is>
          <t>Early Stage VC</t>
        </is>
      </c>
      <c r="BM120" s="203" t="inlineStr">
        <is>
          <t/>
        </is>
      </c>
      <c r="BN120" s="204" t="inlineStr">
        <is>
          <t/>
        </is>
      </c>
      <c r="BO120" s="205" t="inlineStr">
        <is>
          <t>Venture Capital</t>
        </is>
      </c>
      <c r="BP120" s="206" t="inlineStr">
        <is>
          <t/>
        </is>
      </c>
      <c r="BQ120" s="207" t="inlineStr">
        <is>
          <t/>
        </is>
      </c>
      <c r="BR120" s="208" t="inlineStr">
        <is>
          <t/>
        </is>
      </c>
      <c r="BS120" s="209" t="inlineStr">
        <is>
          <t>Completed</t>
        </is>
      </c>
      <c r="BT120" s="210" t="n">
        <v>42944.0</v>
      </c>
      <c r="BU120" s="211" t="n">
        <v>7.3</v>
      </c>
      <c r="BV120" s="212" t="inlineStr">
        <is>
          <t>Actual</t>
        </is>
      </c>
      <c r="BW120" s="213" t="inlineStr">
        <is>
          <t/>
        </is>
      </c>
      <c r="BX120" s="214" t="inlineStr">
        <is>
          <t/>
        </is>
      </c>
      <c r="BY120" s="215" t="inlineStr">
        <is>
          <t>Later Stage VC</t>
        </is>
      </c>
      <c r="BZ120" s="216" t="inlineStr">
        <is>
          <t/>
        </is>
      </c>
      <c r="CA120" s="217" t="inlineStr">
        <is>
          <t/>
        </is>
      </c>
      <c r="CB120" s="218" t="inlineStr">
        <is>
          <t>Venture Capital</t>
        </is>
      </c>
      <c r="CC120" s="219" t="inlineStr">
        <is>
          <t/>
        </is>
      </c>
      <c r="CD120" s="220" t="inlineStr">
        <is>
          <t/>
        </is>
      </c>
      <c r="CE120" s="221" t="inlineStr">
        <is>
          <t/>
        </is>
      </c>
      <c r="CF120" s="222" t="inlineStr">
        <is>
          <t>Completed</t>
        </is>
      </c>
      <c r="CG120" s="223" t="inlineStr">
        <is>
          <t>-4,69%</t>
        </is>
      </c>
      <c r="CH120" s="224" t="inlineStr">
        <is>
          <t>4</t>
        </is>
      </c>
      <c r="CI120" s="225" t="inlineStr">
        <is>
          <t>0,01%</t>
        </is>
      </c>
      <c r="CJ120" s="226" t="inlineStr">
        <is>
          <t>0,20%</t>
        </is>
      </c>
      <c r="CK120" s="227" t="inlineStr">
        <is>
          <t>-14,99%</t>
        </is>
      </c>
      <c r="CL120" s="228" t="inlineStr">
        <is>
          <t>1</t>
        </is>
      </c>
      <c r="CM120" s="229" t="inlineStr">
        <is>
          <t>0,23%</t>
        </is>
      </c>
      <c r="CN120" s="230" t="inlineStr">
        <is>
          <t>74</t>
        </is>
      </c>
      <c r="CO120" s="231" t="inlineStr">
        <is>
          <t>-29,60%</t>
        </is>
      </c>
      <c r="CP120" s="232" t="inlineStr">
        <is>
          <t>1</t>
        </is>
      </c>
      <c r="CQ120" s="233" t="inlineStr">
        <is>
          <t>-0,38%</t>
        </is>
      </c>
      <c r="CR120" s="234" t="inlineStr">
        <is>
          <t>17</t>
        </is>
      </c>
      <c r="CS120" s="235" t="inlineStr">
        <is>
          <t>0,25%</t>
        </is>
      </c>
      <c r="CT120" s="236" t="inlineStr">
        <is>
          <t>74</t>
        </is>
      </c>
      <c r="CU120" s="237" t="inlineStr">
        <is>
          <t>0,22%</t>
        </is>
      </c>
      <c r="CV120" s="238" t="inlineStr">
        <is>
          <t>78</t>
        </is>
      </c>
      <c r="CW120" s="239" t="inlineStr">
        <is>
          <t>28,78x</t>
        </is>
      </c>
      <c r="CX120" s="240" t="inlineStr">
        <is>
          <t>95</t>
        </is>
      </c>
      <c r="CY120" s="241" t="inlineStr">
        <is>
          <t>-0,18x</t>
        </is>
      </c>
      <c r="CZ120" s="242" t="inlineStr">
        <is>
          <t>-0,62%</t>
        </is>
      </c>
      <c r="DA120" s="243" t="inlineStr">
        <is>
          <t>12,53x</t>
        </is>
      </c>
      <c r="DB120" s="244" t="inlineStr">
        <is>
          <t>91</t>
        </is>
      </c>
      <c r="DC120" s="245" t="inlineStr">
        <is>
          <t>73,34x</t>
        </is>
      </c>
      <c r="DD120" s="246" t="inlineStr">
        <is>
          <t>96</t>
        </is>
      </c>
      <c r="DE120" s="247" t="inlineStr">
        <is>
          <t>0,23x</t>
        </is>
      </c>
      <c r="DF120" s="248" t="inlineStr">
        <is>
          <t>17</t>
        </is>
      </c>
      <c r="DG120" s="249" t="inlineStr">
        <is>
          <t>24,83x</t>
        </is>
      </c>
      <c r="DH120" s="250" t="inlineStr">
        <is>
          <t>94</t>
        </is>
      </c>
      <c r="DI120" s="251" t="inlineStr">
        <is>
          <t>133,16x</t>
        </is>
      </c>
      <c r="DJ120" s="252" t="inlineStr">
        <is>
          <t>96</t>
        </is>
      </c>
      <c r="DK120" s="253" t="inlineStr">
        <is>
          <t>13,52x</t>
        </is>
      </c>
      <c r="DL120" s="254" t="inlineStr">
        <is>
          <t>90</t>
        </is>
      </c>
      <c r="DM120" s="255" t="inlineStr">
        <is>
          <t>88</t>
        </is>
      </c>
      <c r="DN120" s="256" t="inlineStr">
        <is>
          <t>-24</t>
        </is>
      </c>
      <c r="DO120" s="257" t="inlineStr">
        <is>
          <t>-21,43%</t>
        </is>
      </c>
      <c r="DP120" s="258" t="inlineStr">
        <is>
          <t>105.423</t>
        </is>
      </c>
      <c r="DQ120" s="259" t="inlineStr">
        <is>
          <t>242</t>
        </is>
      </c>
      <c r="DR120" s="260" t="inlineStr">
        <is>
          <t>0,23%</t>
        </is>
      </c>
      <c r="DS120" s="261" t="inlineStr">
        <is>
          <t>895</t>
        </is>
      </c>
      <c r="DT120" s="262" t="inlineStr">
        <is>
          <t>-3</t>
        </is>
      </c>
      <c r="DU120" s="263" t="inlineStr">
        <is>
          <t>-0,33%</t>
        </is>
      </c>
      <c r="DV120" s="264" t="inlineStr">
        <is>
          <t>5.057</t>
        </is>
      </c>
      <c r="DW120" s="265" t="inlineStr">
        <is>
          <t>4</t>
        </is>
      </c>
      <c r="DX120" s="266" t="inlineStr">
        <is>
          <t>0,08%</t>
        </is>
      </c>
      <c r="DY120" s="267" t="inlineStr">
        <is>
          <t>PitchBook Research</t>
        </is>
      </c>
      <c r="DZ120" s="786">
        <f>HYPERLINK("https://my.pitchbook.com?c=54705-70", "View company online")</f>
      </c>
    </row>
    <row r="121">
      <c r="A121" s="9" t="inlineStr">
        <is>
          <t>90360-46</t>
        </is>
      </c>
      <c r="B121" s="10" t="inlineStr">
        <is>
          <t>MPP Global</t>
        </is>
      </c>
      <c r="C121" s="11" t="inlineStr">
        <is>
          <t/>
        </is>
      </c>
      <c r="D121" s="12" t="inlineStr">
        <is>
          <t/>
        </is>
      </c>
      <c r="E121" s="13" t="inlineStr">
        <is>
          <t>90360-46</t>
        </is>
      </c>
      <c r="F121" s="14" t="inlineStr">
        <is>
          <t>Provider of cloud based eCommerce digital monetization platform designed to identify, engage and monetize digital audiences. The company's monetization platform eSuite, converts and retains paid users for its clients, integrating identity management, customer relationship management and automated subscription billing, enabling media, video, sport and retail sectors to drive revenue from digital and physical products.</t>
        </is>
      </c>
      <c r="G121" s="15" t="inlineStr">
        <is>
          <t>Information Technology</t>
        </is>
      </c>
      <c r="H121" s="16" t="inlineStr">
        <is>
          <t>Software</t>
        </is>
      </c>
      <c r="I121" s="17" t="inlineStr">
        <is>
          <t>Business/Productivity Software</t>
        </is>
      </c>
      <c r="J121" s="18" t="inlineStr">
        <is>
          <t>Business/Productivity Software*</t>
        </is>
      </c>
      <c r="K121" s="19" t="inlineStr">
        <is>
          <t>Marketing Tech, SaaS</t>
        </is>
      </c>
      <c r="L121" s="20" t="inlineStr">
        <is>
          <t>Venture Capital-Backed</t>
        </is>
      </c>
      <c r="M121" s="21" t="n">
        <v>14.05</v>
      </c>
      <c r="N121" s="22" t="inlineStr">
        <is>
          <t>Generating Revenue</t>
        </is>
      </c>
      <c r="O121" s="23" t="inlineStr">
        <is>
          <t>Privately Held (backing)</t>
        </is>
      </c>
      <c r="P121" s="24" t="inlineStr">
        <is>
          <t>Venture Capital</t>
        </is>
      </c>
      <c r="Q121" s="25" t="inlineStr">
        <is>
          <t>www.mppglobal.com</t>
        </is>
      </c>
      <c r="R121" s="26" t="inlineStr">
        <is>
          <t/>
        </is>
      </c>
      <c r="S121" s="27" t="inlineStr">
        <is>
          <t/>
        </is>
      </c>
      <c r="T121" s="28" t="inlineStr">
        <is>
          <t/>
        </is>
      </c>
      <c r="U121" s="29" t="n">
        <v>2000.0</v>
      </c>
      <c r="V121" s="30" t="inlineStr">
        <is>
          <t/>
        </is>
      </c>
      <c r="W121" s="31" t="inlineStr">
        <is>
          <t/>
        </is>
      </c>
      <c r="X121" s="32" t="inlineStr">
        <is>
          <t/>
        </is>
      </c>
      <c r="Y121" s="33" t="inlineStr">
        <is>
          <t/>
        </is>
      </c>
      <c r="Z121" s="34" t="inlineStr">
        <is>
          <t/>
        </is>
      </c>
      <c r="AA121" s="35" t="inlineStr">
        <is>
          <t/>
        </is>
      </c>
      <c r="AB121" s="36" t="inlineStr">
        <is>
          <t/>
        </is>
      </c>
      <c r="AC121" s="37" t="inlineStr">
        <is>
          <t/>
        </is>
      </c>
      <c r="AD121" s="38" t="inlineStr">
        <is>
          <t/>
        </is>
      </c>
      <c r="AE121" s="39" t="inlineStr">
        <is>
          <t>98327-98P</t>
        </is>
      </c>
      <c r="AF121" s="40" t="inlineStr">
        <is>
          <t>Phil Walder</t>
        </is>
      </c>
      <c r="AG121" s="41" t="inlineStr">
        <is>
          <t>Director, Business Development</t>
        </is>
      </c>
      <c r="AH121" s="42" t="inlineStr">
        <is>
          <t/>
        </is>
      </c>
      <c r="AI121" s="43" t="inlineStr">
        <is>
          <t>+44 (0)84 4873 1418</t>
        </is>
      </c>
      <c r="AJ121" s="44" t="inlineStr">
        <is>
          <t>Warrington, United Kingdom</t>
        </is>
      </c>
      <c r="AK121" s="45" t="inlineStr">
        <is>
          <t>401 Faraday Street</t>
        </is>
      </c>
      <c r="AL121" s="46" t="inlineStr">
        <is>
          <t>Birchwood Park</t>
        </is>
      </c>
      <c r="AM121" s="47" t="inlineStr">
        <is>
          <t>Warrington</t>
        </is>
      </c>
      <c r="AN121" s="48" t="inlineStr">
        <is>
          <t>England</t>
        </is>
      </c>
      <c r="AO121" s="49" t="inlineStr">
        <is>
          <t>WA3 6GA</t>
        </is>
      </c>
      <c r="AP121" s="50" t="inlineStr">
        <is>
          <t>United Kingdom</t>
        </is>
      </c>
      <c r="AQ121" s="51" t="inlineStr">
        <is>
          <t>+44 (0)84 4873 1418</t>
        </is>
      </c>
      <c r="AR121" s="52" t="inlineStr">
        <is>
          <t>+44 (0)84 4873 1419</t>
        </is>
      </c>
      <c r="AS121" s="53" t="inlineStr">
        <is>
          <t>hello@mppglobal.com</t>
        </is>
      </c>
      <c r="AT121" s="54" t="inlineStr">
        <is>
          <t>Europe</t>
        </is>
      </c>
      <c r="AU121" s="55" t="inlineStr">
        <is>
          <t>Western Europe</t>
        </is>
      </c>
      <c r="AV121" s="56" t="inlineStr">
        <is>
          <t>The company raised GBP 12 million of series B venture funding from Albion Ventures and Grafton Capital on May 4, 2017. The company intends to use the funds to expand into new geographic markets and further evolve its eSuite platform.</t>
        </is>
      </c>
      <c r="AW121" s="57" t="inlineStr">
        <is>
          <t>Albion Capital, Grafton Capital</t>
        </is>
      </c>
      <c r="AX121" s="58" t="n">
        <v>2.0</v>
      </c>
      <c r="AY121" s="59" t="inlineStr">
        <is>
          <t/>
        </is>
      </c>
      <c r="AZ121" s="60" t="inlineStr">
        <is>
          <t/>
        </is>
      </c>
      <c r="BA121" s="61" t="inlineStr">
        <is>
          <t/>
        </is>
      </c>
      <c r="BB121" s="62" t="inlineStr">
        <is>
          <t>Albion Capital (www.albion.capital), Grafton Capital (www.graftoncapital.com)</t>
        </is>
      </c>
      <c r="BC121" s="63" t="inlineStr">
        <is>
          <t/>
        </is>
      </c>
      <c r="BD121" s="64" t="inlineStr">
        <is>
          <t/>
        </is>
      </c>
      <c r="BE121" s="65" t="inlineStr">
        <is>
          <t/>
        </is>
      </c>
      <c r="BF121" s="66" t="inlineStr">
        <is>
          <t>Turner Parkinson (Legal Advisor)</t>
        </is>
      </c>
      <c r="BG121" s="67" t="n">
        <v>42859.0</v>
      </c>
      <c r="BH121" s="68" t="n">
        <v>14.05</v>
      </c>
      <c r="BI121" s="69" t="inlineStr">
        <is>
          <t>Actual</t>
        </is>
      </c>
      <c r="BJ121" s="70" t="inlineStr">
        <is>
          <t/>
        </is>
      </c>
      <c r="BK121" s="71" t="inlineStr">
        <is>
          <t/>
        </is>
      </c>
      <c r="BL121" s="72" t="inlineStr">
        <is>
          <t>Later Stage VC</t>
        </is>
      </c>
      <c r="BM121" s="73" t="inlineStr">
        <is>
          <t>Series B</t>
        </is>
      </c>
      <c r="BN121" s="74" t="inlineStr">
        <is>
          <t/>
        </is>
      </c>
      <c r="BO121" s="75" t="inlineStr">
        <is>
          <t>Venture Capital</t>
        </is>
      </c>
      <c r="BP121" s="76" t="inlineStr">
        <is>
          <t/>
        </is>
      </c>
      <c r="BQ121" s="77" t="inlineStr">
        <is>
          <t/>
        </is>
      </c>
      <c r="BR121" s="78" t="inlineStr">
        <is>
          <t/>
        </is>
      </c>
      <c r="BS121" s="79" t="inlineStr">
        <is>
          <t>Completed</t>
        </is>
      </c>
      <c r="BT121" s="80" t="n">
        <v>42859.0</v>
      </c>
      <c r="BU121" s="81" t="n">
        <v>14.05</v>
      </c>
      <c r="BV121" s="82" t="inlineStr">
        <is>
          <t>Actual</t>
        </is>
      </c>
      <c r="BW121" s="83" t="inlineStr">
        <is>
          <t/>
        </is>
      </c>
      <c r="BX121" s="84" t="inlineStr">
        <is>
          <t/>
        </is>
      </c>
      <c r="BY121" s="85" t="inlineStr">
        <is>
          <t>Later Stage VC</t>
        </is>
      </c>
      <c r="BZ121" s="86" t="inlineStr">
        <is>
          <t>Series B</t>
        </is>
      </c>
      <c r="CA121" s="87" t="inlineStr">
        <is>
          <t/>
        </is>
      </c>
      <c r="CB121" s="88" t="inlineStr">
        <is>
          <t>Venture Capital</t>
        </is>
      </c>
      <c r="CC121" s="89" t="inlineStr">
        <is>
          <t/>
        </is>
      </c>
      <c r="CD121" s="90" t="inlineStr">
        <is>
          <t/>
        </is>
      </c>
      <c r="CE121" s="91" t="inlineStr">
        <is>
          <t/>
        </is>
      </c>
      <c r="CF121" s="92" t="inlineStr">
        <is>
          <t>Completed</t>
        </is>
      </c>
      <c r="CG121" s="93" t="inlineStr">
        <is>
          <t>-0,37%</t>
        </is>
      </c>
      <c r="CH121" s="94" t="inlineStr">
        <is>
          <t>20</t>
        </is>
      </c>
      <c r="CI121" s="95" t="inlineStr">
        <is>
          <t>-0,09%</t>
        </is>
      </c>
      <c r="CJ121" s="96" t="inlineStr">
        <is>
          <t>-29,75%</t>
        </is>
      </c>
      <c r="CK121" s="97" t="inlineStr">
        <is>
          <t>-0,94%</t>
        </is>
      </c>
      <c r="CL121" s="98" t="inlineStr">
        <is>
          <t>20</t>
        </is>
      </c>
      <c r="CM121" s="99" t="inlineStr">
        <is>
          <t>0,20%</t>
        </is>
      </c>
      <c r="CN121" s="100" t="inlineStr">
        <is>
          <t>71</t>
        </is>
      </c>
      <c r="CO121" s="101" t="inlineStr">
        <is>
          <t>-0,42%</t>
        </is>
      </c>
      <c r="CP121" s="102" t="inlineStr">
        <is>
          <t>35</t>
        </is>
      </c>
      <c r="CQ121" s="103" t="inlineStr">
        <is>
          <t>-1,47%</t>
        </is>
      </c>
      <c r="CR121" s="104" t="inlineStr">
        <is>
          <t>5</t>
        </is>
      </c>
      <c r="CS121" s="105" t="inlineStr">
        <is>
          <t>0,10%</t>
        </is>
      </c>
      <c r="CT121" s="106" t="inlineStr">
        <is>
          <t>56</t>
        </is>
      </c>
      <c r="CU121" s="107" t="inlineStr">
        <is>
          <t>0,29%</t>
        </is>
      </c>
      <c r="CV121" s="108" t="inlineStr">
        <is>
          <t>83</t>
        </is>
      </c>
      <c r="CW121" s="109" t="inlineStr">
        <is>
          <t>5,36x</t>
        </is>
      </c>
      <c r="CX121" s="110" t="inlineStr">
        <is>
          <t>81</t>
        </is>
      </c>
      <c r="CY121" s="111" t="inlineStr">
        <is>
          <t>-0,08x</t>
        </is>
      </c>
      <c r="CZ121" s="112" t="inlineStr">
        <is>
          <t>-1,46%</t>
        </is>
      </c>
      <c r="DA121" s="113" t="inlineStr">
        <is>
          <t>9,10x</t>
        </is>
      </c>
      <c r="DB121" s="114" t="inlineStr">
        <is>
          <t>88</t>
        </is>
      </c>
      <c r="DC121" s="115" t="inlineStr">
        <is>
          <t>1,61x</t>
        </is>
      </c>
      <c r="DD121" s="116" t="inlineStr">
        <is>
          <t>58</t>
        </is>
      </c>
      <c r="DE121" s="117" t="inlineStr">
        <is>
          <t>0,37x</t>
        </is>
      </c>
      <c r="DF121" s="118" t="inlineStr">
        <is>
          <t>26</t>
        </is>
      </c>
      <c r="DG121" s="119" t="inlineStr">
        <is>
          <t>17,83x</t>
        </is>
      </c>
      <c r="DH121" s="120" t="inlineStr">
        <is>
          <t>92</t>
        </is>
      </c>
      <c r="DI121" s="121" t="inlineStr">
        <is>
          <t>0,15x</t>
        </is>
      </c>
      <c r="DJ121" s="122" t="inlineStr">
        <is>
          <t>19</t>
        </is>
      </c>
      <c r="DK121" s="123" t="inlineStr">
        <is>
          <t>3,06x</t>
        </is>
      </c>
      <c r="DL121" s="124" t="inlineStr">
        <is>
          <t>71</t>
        </is>
      </c>
      <c r="DM121" s="125" t="inlineStr">
        <is>
          <t>141</t>
        </is>
      </c>
      <c r="DN121" s="126" t="inlineStr">
        <is>
          <t>-15</t>
        </is>
      </c>
      <c r="DO121" s="127" t="inlineStr">
        <is>
          <t>-9,62%</t>
        </is>
      </c>
      <c r="DP121" s="128" t="inlineStr">
        <is>
          <t>122</t>
        </is>
      </c>
      <c r="DQ121" s="129" t="inlineStr">
        <is>
          <t>0</t>
        </is>
      </c>
      <c r="DR121" s="130" t="inlineStr">
        <is>
          <t>0,00%</t>
        </is>
      </c>
      <c r="DS121" s="131" t="inlineStr">
        <is>
          <t>646</t>
        </is>
      </c>
      <c r="DT121" s="132" t="inlineStr">
        <is>
          <t>-11</t>
        </is>
      </c>
      <c r="DU121" s="133" t="inlineStr">
        <is>
          <t>-1,67%</t>
        </is>
      </c>
      <c r="DV121" s="134" t="inlineStr">
        <is>
          <t>1.141</t>
        </is>
      </c>
      <c r="DW121" s="135" t="inlineStr">
        <is>
          <t>5</t>
        </is>
      </c>
      <c r="DX121" s="136" t="inlineStr">
        <is>
          <t>0,44%</t>
        </is>
      </c>
      <c r="DY121" s="137" t="inlineStr">
        <is>
          <t>PitchBook Research</t>
        </is>
      </c>
      <c r="DZ121" s="785">
        <f>HYPERLINK("https://my.pitchbook.com?c=90360-46", "View company online")</f>
      </c>
    </row>
    <row r="122">
      <c r="A122" s="139" t="inlineStr">
        <is>
          <t>58873-60</t>
        </is>
      </c>
      <c r="B122" s="140" t="inlineStr">
        <is>
          <t>FishBrain</t>
        </is>
      </c>
      <c r="C122" s="141" t="inlineStr">
        <is>
          <t/>
        </is>
      </c>
      <c r="D122" s="142" t="inlineStr">
        <is>
          <t/>
        </is>
      </c>
      <c r="E122" s="143" t="inlineStr">
        <is>
          <t>58873-60</t>
        </is>
      </c>
      <c r="F122" s="144" t="inlineStr">
        <is>
          <t>Provider of a social networking application designed to connect anglers to make their fishing dreams come true. The company's social networking application values responsible fishing by encouraging catch and release and the sustainable harvest of fish species, enabling anglers fishing forecasts based on real-catch data, the ability to track various species, share their experiences with friends, find new fishing spots, see what other people are catching and discover what bait is being used where.</t>
        </is>
      </c>
      <c r="G122" s="145" t="inlineStr">
        <is>
          <t>Information Technology</t>
        </is>
      </c>
      <c r="H122" s="146" t="inlineStr">
        <is>
          <t>Software</t>
        </is>
      </c>
      <c r="I122" s="147" t="inlineStr">
        <is>
          <t>Social/Platform Software</t>
        </is>
      </c>
      <c r="J122" s="148" t="inlineStr">
        <is>
          <t>Social/Platform Software*; Application Software; Social Content</t>
        </is>
      </c>
      <c r="K122" s="149" t="inlineStr">
        <is>
          <t>Mobile</t>
        </is>
      </c>
      <c r="L122" s="150" t="inlineStr">
        <is>
          <t>Venture Capital-Backed</t>
        </is>
      </c>
      <c r="M122" s="151" t="n">
        <v>13.73</v>
      </c>
      <c r="N122" s="152" t="inlineStr">
        <is>
          <t>Generating Revenue</t>
        </is>
      </c>
      <c r="O122" s="153" t="inlineStr">
        <is>
          <t>Privately Held (backing)</t>
        </is>
      </c>
      <c r="P122" s="154" t="inlineStr">
        <is>
          <t>Venture Capital</t>
        </is>
      </c>
      <c r="Q122" s="155" t="inlineStr">
        <is>
          <t>www.fishbrain.com</t>
        </is>
      </c>
      <c r="R122" s="156" t="n">
        <v>13.0</v>
      </c>
      <c r="S122" s="157" t="inlineStr">
        <is>
          <t/>
        </is>
      </c>
      <c r="T122" s="158" t="inlineStr">
        <is>
          <t/>
        </is>
      </c>
      <c r="U122" s="159" t="n">
        <v>2010.0</v>
      </c>
      <c r="V122" s="160" t="inlineStr">
        <is>
          <t/>
        </is>
      </c>
      <c r="W122" s="161" t="inlineStr">
        <is>
          <r>
            <rPr>
              <b/>
              <color rgb="ff26854d"/>
              <rFont val="Arial"/>
              <sz val="8.0"/>
            </rPr>
            <t>Primary Office</t>
          </r>
          <r>
            <rPr>
              <color rgb="ff707070"/>
              <rFont val="Arial"/>
              <sz val="7.0"/>
            </rPr>
            <t xml:space="preserve"> UPDATE  </t>
          </r>
          <r>
            <rPr>
              <color rgb="ff000000"/>
              <rFont val="Arial"/>
              <sz val="8.0"/>
            </rPr>
            <t>Stockholm, Sweden</t>
          </r>
        </is>
      </c>
      <c r="X122" s="162" t="inlineStr">
        <is>
          <r>
            <rPr>
              <b/>
              <color rgb="ff26854d"/>
              <rFont val="Arial"/>
              <sz val="8.0"/>
            </rPr>
            <t>Primary Office</t>
          </r>
          <r>
            <rPr>
              <color rgb="ff707070"/>
              <rFont val="Arial"/>
              <sz val="7.0"/>
            </rPr>
            <t xml:space="preserve"> UPDATE  </t>
          </r>
          <r>
            <rPr>
              <color rgb="ff000000"/>
              <rFont val="Arial"/>
              <sz val="8.0"/>
            </rPr>
            <t>Stockholm, Sweden</t>
          </r>
        </is>
      </c>
      <c r="Y122" s="163" t="n">
        <v>0.89167</v>
      </c>
      <c r="Z122" s="164" t="inlineStr">
        <is>
          <t/>
        </is>
      </c>
      <c r="AA122" s="165" t="inlineStr">
        <is>
          <t/>
        </is>
      </c>
      <c r="AB122" s="166" t="inlineStr">
        <is>
          <t/>
        </is>
      </c>
      <c r="AC122" s="167" t="inlineStr">
        <is>
          <t/>
        </is>
      </c>
      <c r="AD122" s="168" t="inlineStr">
        <is>
          <t>FY 2016</t>
        </is>
      </c>
      <c r="AE122" s="169" t="inlineStr">
        <is>
          <t>53492-86P</t>
        </is>
      </c>
      <c r="AF122" s="170" t="inlineStr">
        <is>
          <t>Johan Attby</t>
        </is>
      </c>
      <c r="AG122" s="171" t="inlineStr">
        <is>
          <t>Co-Founder &amp; Chief Executive Officer</t>
        </is>
      </c>
      <c r="AH122" s="172" t="inlineStr">
        <is>
          <t>johan@fishbrain.com</t>
        </is>
      </c>
      <c r="AI122" s="173" t="inlineStr">
        <is>
          <t>+46 (0)70 22 50 22 7</t>
        </is>
      </c>
      <c r="AJ122" s="174" t="inlineStr">
        <is>
          <t>Stockholm, Sweden</t>
        </is>
      </c>
      <c r="AK122" s="175" t="inlineStr">
        <is>
          <t>Jakobsbergsgatan 31</t>
        </is>
      </c>
      <c r="AL122" s="176" t="inlineStr">
        <is>
          <t/>
        </is>
      </c>
      <c r="AM122" s="177" t="inlineStr">
        <is>
          <t>Stockholm</t>
        </is>
      </c>
      <c r="AN122" s="178" t="inlineStr">
        <is>
          <t/>
        </is>
      </c>
      <c r="AO122" s="179" t="inlineStr">
        <is>
          <t>111 44</t>
        </is>
      </c>
      <c r="AP122" s="180" t="inlineStr">
        <is>
          <t>Sweden</t>
        </is>
      </c>
      <c r="AQ122" s="181" t="inlineStr">
        <is>
          <t/>
        </is>
      </c>
      <c r="AR122" s="182" t="inlineStr">
        <is>
          <t/>
        </is>
      </c>
      <c r="AS122" s="183" t="inlineStr">
        <is>
          <t/>
        </is>
      </c>
      <c r="AT122" s="184" t="inlineStr">
        <is>
          <t>Europe</t>
        </is>
      </c>
      <c r="AU122" s="185" t="inlineStr">
        <is>
          <t>Northern Europe</t>
        </is>
      </c>
      <c r="AV122" s="186" t="inlineStr">
        <is>
          <t>The company raised SEK3.7 million of Series B venture funding from FJ Labs, Northzone Ventures and Industrifonden on April 13, 2017, putting the company's pre-money valuation at SEK 147 million. Telenor Group, Active Venture Partners, Recruit Strategic Partners and other undisclosed investors also participated in the round.</t>
        </is>
      </c>
      <c r="AW122" s="187" t="inlineStr">
        <is>
          <t>Active Venture Partners, Almi Invest, Cavalry Ventures, Edastra Venture Capital, FJ Labs, GP Bullhound, Hans Lindroth, Henrik Torstensson, Industrifonden, Mathias Ackermand, Mattias Miksche, Northzone Ventures, Novel TMT Ventures, Recruit Strategic Partners, Rikard Steiber, Seedcamp, Slush, Telenor Group, Umando, Voltage Ventures</t>
        </is>
      </c>
      <c r="AX122" s="188" t="n">
        <v>20.0</v>
      </c>
      <c r="AY122" s="189" t="inlineStr">
        <is>
          <t/>
        </is>
      </c>
      <c r="AZ122" s="190" t="inlineStr">
        <is>
          <t/>
        </is>
      </c>
      <c r="BA122" s="191" t="inlineStr">
        <is>
          <t/>
        </is>
      </c>
      <c r="BB122" s="192" t="inlineStr">
        <is>
          <t>Active Venture Partners (www.active-vp.com), Cavalry Ventures (www.cavalry.vc), Edastra Venture Capital (www.edastra.com), FJ Labs (www.fjlabs.com), GP Bullhound (www.gpbullhound.com), Industrifonden (www.industrifonden.com), Northzone Ventures (www.northzone.com), Recruit Strategic Partners (www.recruitstrategicpartners.com), Rikard Steiber (www.linkedin.com), Seedcamp (www.seedcamp.com), Slush (www.slush.org), Telenor Group (www.telenor.com), Voltage Ventures (www.voltage.vc)</t>
        </is>
      </c>
      <c r="BC122" s="193" t="inlineStr">
        <is>
          <t/>
        </is>
      </c>
      <c r="BD122" s="194" t="inlineStr">
        <is>
          <t/>
        </is>
      </c>
      <c r="BE122" s="195" t="inlineStr">
        <is>
          <t/>
        </is>
      </c>
      <c r="BF122" s="196" t="inlineStr">
        <is>
          <t/>
        </is>
      </c>
      <c r="BG122" s="197" t="n">
        <v>41275.0</v>
      </c>
      <c r="BH122" s="198" t="inlineStr">
        <is>
          <t/>
        </is>
      </c>
      <c r="BI122" s="199" t="inlineStr">
        <is>
          <t/>
        </is>
      </c>
      <c r="BJ122" s="200" t="inlineStr">
        <is>
          <t/>
        </is>
      </c>
      <c r="BK122" s="201" t="inlineStr">
        <is>
          <t/>
        </is>
      </c>
      <c r="BL122" s="202" t="inlineStr">
        <is>
          <t>Accelerator/Incubator</t>
        </is>
      </c>
      <c r="BM122" s="203" t="inlineStr">
        <is>
          <t/>
        </is>
      </c>
      <c r="BN122" s="204" t="inlineStr">
        <is>
          <t/>
        </is>
      </c>
      <c r="BO122" s="205" t="inlineStr">
        <is>
          <t>Other</t>
        </is>
      </c>
      <c r="BP122" s="206" t="inlineStr">
        <is>
          <t/>
        </is>
      </c>
      <c r="BQ122" s="207" t="inlineStr">
        <is>
          <t/>
        </is>
      </c>
      <c r="BR122" s="208" t="inlineStr">
        <is>
          <t/>
        </is>
      </c>
      <c r="BS122" s="209" t="inlineStr">
        <is>
          <t>Completed</t>
        </is>
      </c>
      <c r="BT122" s="210" t="n">
        <v>42838.0</v>
      </c>
      <c r="BU122" s="211" t="n">
        <v>3.44</v>
      </c>
      <c r="BV122" s="212" t="inlineStr">
        <is>
          <t>Actual</t>
        </is>
      </c>
      <c r="BW122" s="213" t="n">
        <v>18.75</v>
      </c>
      <c r="BX122" s="214" t="inlineStr">
        <is>
          <t>Actual</t>
        </is>
      </c>
      <c r="BY122" s="215" t="inlineStr">
        <is>
          <t>Later Stage VC</t>
        </is>
      </c>
      <c r="BZ122" s="216" t="inlineStr">
        <is>
          <t>Series B</t>
        </is>
      </c>
      <c r="CA122" s="217" t="inlineStr">
        <is>
          <t/>
        </is>
      </c>
      <c r="CB122" s="218" t="inlineStr">
        <is>
          <t>Venture Capital</t>
        </is>
      </c>
      <c r="CC122" s="219" t="inlineStr">
        <is>
          <t/>
        </is>
      </c>
      <c r="CD122" s="220" t="inlineStr">
        <is>
          <t/>
        </is>
      </c>
      <c r="CE122" s="221" t="inlineStr">
        <is>
          <t/>
        </is>
      </c>
      <c r="CF122" s="222" t="inlineStr">
        <is>
          <t>Completed</t>
        </is>
      </c>
      <c r="CG122" s="223" t="inlineStr">
        <is>
          <t>-1,99%</t>
        </is>
      </c>
      <c r="CH122" s="224" t="inlineStr">
        <is>
          <t>9</t>
        </is>
      </c>
      <c r="CI122" s="225" t="inlineStr">
        <is>
          <t>0,02%</t>
        </is>
      </c>
      <c r="CJ122" s="226" t="inlineStr">
        <is>
          <t>1,23%</t>
        </is>
      </c>
      <c r="CK122" s="227" t="inlineStr">
        <is>
          <t>-7,85%</t>
        </is>
      </c>
      <c r="CL122" s="228" t="inlineStr">
        <is>
          <t>5</t>
        </is>
      </c>
      <c r="CM122" s="229" t="inlineStr">
        <is>
          <t>0,72%</t>
        </is>
      </c>
      <c r="CN122" s="230" t="inlineStr">
        <is>
          <t>93</t>
        </is>
      </c>
      <c r="CO122" s="231" t="inlineStr">
        <is>
          <t>-14,87%</t>
        </is>
      </c>
      <c r="CP122" s="232" t="inlineStr">
        <is>
          <t>8</t>
        </is>
      </c>
      <c r="CQ122" s="233" t="inlineStr">
        <is>
          <t>-0,83%</t>
        </is>
      </c>
      <c r="CR122" s="234" t="inlineStr">
        <is>
          <t>12</t>
        </is>
      </c>
      <c r="CS122" s="235" t="inlineStr">
        <is>
          <t>0,87%</t>
        </is>
      </c>
      <c r="CT122" s="236" t="inlineStr">
        <is>
          <t>93</t>
        </is>
      </c>
      <c r="CU122" s="237" t="inlineStr">
        <is>
          <t>0,57%</t>
        </is>
      </c>
      <c r="CV122" s="238" t="inlineStr">
        <is>
          <t>92</t>
        </is>
      </c>
      <c r="CW122" s="239" t="inlineStr">
        <is>
          <t>81,11x</t>
        </is>
      </c>
      <c r="CX122" s="240" t="inlineStr">
        <is>
          <t>98</t>
        </is>
      </c>
      <c r="CY122" s="241" t="inlineStr">
        <is>
          <t>2,67x</t>
        </is>
      </c>
      <c r="CZ122" s="242" t="inlineStr">
        <is>
          <t>3,41%</t>
        </is>
      </c>
      <c r="DA122" s="243" t="inlineStr">
        <is>
          <t>6,50x</t>
        </is>
      </c>
      <c r="DB122" s="244" t="inlineStr">
        <is>
          <t>84</t>
        </is>
      </c>
      <c r="DC122" s="245" t="inlineStr">
        <is>
          <t>117,18x</t>
        </is>
      </c>
      <c r="DD122" s="246" t="inlineStr">
        <is>
          <t>97</t>
        </is>
      </c>
      <c r="DE122" s="247" t="inlineStr">
        <is>
          <t>4,17x</t>
        </is>
      </c>
      <c r="DF122" s="248" t="inlineStr">
        <is>
          <t>78</t>
        </is>
      </c>
      <c r="DG122" s="249" t="inlineStr">
        <is>
          <t>8,83x</t>
        </is>
      </c>
      <c r="DH122" s="250" t="inlineStr">
        <is>
          <t>86</t>
        </is>
      </c>
      <c r="DI122" s="251" t="inlineStr">
        <is>
          <t>223,98x</t>
        </is>
      </c>
      <c r="DJ122" s="252" t="inlineStr">
        <is>
          <t>97</t>
        </is>
      </c>
      <c r="DK122" s="253" t="inlineStr">
        <is>
          <t>10,39x</t>
        </is>
      </c>
      <c r="DL122" s="254" t="inlineStr">
        <is>
          <t>87</t>
        </is>
      </c>
      <c r="DM122" s="255" t="inlineStr">
        <is>
          <t>1.643</t>
        </is>
      </c>
      <c r="DN122" s="256" t="inlineStr">
        <is>
          <t>-482</t>
        </is>
      </c>
      <c r="DO122" s="257" t="inlineStr">
        <is>
          <t>-22,68%</t>
        </is>
      </c>
      <c r="DP122" s="258" t="inlineStr">
        <is>
          <t>175.670</t>
        </is>
      </c>
      <c r="DQ122" s="259" t="inlineStr">
        <is>
          <t>5.489</t>
        </is>
      </c>
      <c r="DR122" s="260" t="inlineStr">
        <is>
          <t>3,23%</t>
        </is>
      </c>
      <c r="DS122" s="261" t="inlineStr">
        <is>
          <t>319</t>
        </is>
      </c>
      <c r="DT122" s="262" t="inlineStr">
        <is>
          <t>-3</t>
        </is>
      </c>
      <c r="DU122" s="263" t="inlineStr">
        <is>
          <t>-0,93%</t>
        </is>
      </c>
      <c r="DV122" s="264" t="inlineStr">
        <is>
          <t>3.881</t>
        </is>
      </c>
      <c r="DW122" s="265" t="inlineStr">
        <is>
          <t>35</t>
        </is>
      </c>
      <c r="DX122" s="266" t="inlineStr">
        <is>
          <t>0,91%</t>
        </is>
      </c>
      <c r="DY122" s="267" t="inlineStr">
        <is>
          <t>PitchBook Research</t>
        </is>
      </c>
      <c r="DZ122" s="786">
        <f>HYPERLINK("https://my.pitchbook.com?c=58873-60", "View company online")</f>
      </c>
    </row>
    <row r="123">
      <c r="A123" s="9" t="inlineStr">
        <is>
          <t>57601-54</t>
        </is>
      </c>
      <c r="B123" s="10" t="inlineStr">
        <is>
          <t>Idio</t>
        </is>
      </c>
      <c r="C123" s="11" t="inlineStr">
        <is>
          <t/>
        </is>
      </c>
      <c r="D123" s="12" t="inlineStr">
        <is>
          <t/>
        </is>
      </c>
      <c r="E123" s="13" t="inlineStr">
        <is>
          <t>57601-54</t>
        </is>
      </c>
      <c r="F123" s="14" t="inlineStr">
        <is>
          <t>Provider of a content marketing platform intended to provide analytical data their client. The company uses its software as a service ("SaaS") platform using differentiated technology that obtains data from consumers' online activity to help businesses refine their online content and also offering content personalization and customer intelligence across multiple digital channels, including e-mail, web and mobile. Its software-as-a-service platform allows brands and marketers to personalize content sent out to subscribers.</t>
        </is>
      </c>
      <c r="G123" s="15" t="inlineStr">
        <is>
          <t>Information Technology</t>
        </is>
      </c>
      <c r="H123" s="16" t="inlineStr">
        <is>
          <t>Software</t>
        </is>
      </c>
      <c r="I123" s="17" t="inlineStr">
        <is>
          <t>Business/Productivity Software</t>
        </is>
      </c>
      <c r="J123" s="18" t="inlineStr">
        <is>
          <t>Business/Productivity Software*; Media and Information Services (B2B); Social Content</t>
        </is>
      </c>
      <c r="K123" s="19" t="inlineStr">
        <is>
          <t>Marketing Tech, Mobile, SaaS</t>
        </is>
      </c>
      <c r="L123" s="20" t="inlineStr">
        <is>
          <t>Private Equity-Backed</t>
        </is>
      </c>
      <c r="M123" s="21" t="n">
        <v>13.6</v>
      </c>
      <c r="N123" s="22" t="inlineStr">
        <is>
          <t>Generating Revenue</t>
        </is>
      </c>
      <c r="O123" s="23" t="inlineStr">
        <is>
          <t>Privately Held (backing)</t>
        </is>
      </c>
      <c r="P123" s="24" t="inlineStr">
        <is>
          <t>Venture Capital, Private Equity</t>
        </is>
      </c>
      <c r="Q123" s="25" t="inlineStr">
        <is>
          <t>www.idioplatform.com</t>
        </is>
      </c>
      <c r="R123" s="26" t="n">
        <v>50.0</v>
      </c>
      <c r="S123" s="27" t="inlineStr">
        <is>
          <t/>
        </is>
      </c>
      <c r="T123" s="28" t="inlineStr">
        <is>
          <t/>
        </is>
      </c>
      <c r="U123" s="29" t="n">
        <v>2006.0</v>
      </c>
      <c r="V123" s="30" t="inlineStr">
        <is>
          <t/>
        </is>
      </c>
      <c r="W123" s="31" t="inlineStr">
        <is>
          <t/>
        </is>
      </c>
      <c r="X123" s="32" t="inlineStr">
        <is>
          <t/>
        </is>
      </c>
      <c r="Y123" s="33" t="n">
        <v>0.26871</v>
      </c>
      <c r="Z123" s="34" t="inlineStr">
        <is>
          <t/>
        </is>
      </c>
      <c r="AA123" s="35" t="n">
        <v>0.06142</v>
      </c>
      <c r="AB123" s="36" t="inlineStr">
        <is>
          <t/>
        </is>
      </c>
      <c r="AC123" s="37" t="n">
        <v>0.06142</v>
      </c>
      <c r="AD123" s="38" t="inlineStr">
        <is>
          <t>FY 2010</t>
        </is>
      </c>
      <c r="AE123" s="39" t="inlineStr">
        <is>
          <t>54590-59P</t>
        </is>
      </c>
      <c r="AF123" s="40" t="inlineStr">
        <is>
          <t>Edward Barrow</t>
        </is>
      </c>
      <c r="AG123" s="41" t="inlineStr">
        <is>
          <t>Co-Founder, Chief Executive Officer and Board Member</t>
        </is>
      </c>
      <c r="AH123" s="42" t="inlineStr">
        <is>
          <t>edward.barrow@idioplatform.com</t>
        </is>
      </c>
      <c r="AI123" s="43" t="inlineStr">
        <is>
          <t>+44 (0)20 3540 1920</t>
        </is>
      </c>
      <c r="AJ123" s="44" t="inlineStr">
        <is>
          <t>London, United Kingdom</t>
        </is>
      </c>
      <c r="AK123" s="45" t="inlineStr">
        <is>
          <t>Threeways House</t>
        </is>
      </c>
      <c r="AL123" s="46" t="inlineStr">
        <is>
          <t>40-44 Clipstone Street</t>
        </is>
      </c>
      <c r="AM123" s="47" t="inlineStr">
        <is>
          <t>London</t>
        </is>
      </c>
      <c r="AN123" s="48" t="inlineStr">
        <is>
          <t>England</t>
        </is>
      </c>
      <c r="AO123" s="49" t="inlineStr">
        <is>
          <t>W1W 5DW</t>
        </is>
      </c>
      <c r="AP123" s="50" t="inlineStr">
        <is>
          <t>United Kingdom</t>
        </is>
      </c>
      <c r="AQ123" s="51" t="inlineStr">
        <is>
          <t>+44 (0)20 3540 1920</t>
        </is>
      </c>
      <c r="AR123" s="52" t="inlineStr">
        <is>
          <t/>
        </is>
      </c>
      <c r="AS123" s="53" t="inlineStr">
        <is>
          <t>info@idioplatform.com</t>
        </is>
      </c>
      <c r="AT123" s="54" t="inlineStr">
        <is>
          <t>Europe</t>
        </is>
      </c>
      <c r="AU123" s="55" t="inlineStr">
        <is>
          <t>Western Europe</t>
        </is>
      </c>
      <c r="AV123" s="56" t="inlineStr">
        <is>
          <t>The company received $1.8 million of Venture financing from Foresight Group and VentureFounders on March 15, 2017.</t>
        </is>
      </c>
      <c r="AW123" s="57" t="inlineStr">
        <is>
          <t>Foresight Group, Gerard Barron, Juno Capital, Notion Capital, Quayle Munro, VentureFounders</t>
        </is>
      </c>
      <c r="AX123" s="58" t="n">
        <v>6.0</v>
      </c>
      <c r="AY123" s="59" t="inlineStr">
        <is>
          <t/>
        </is>
      </c>
      <c r="AZ123" s="60" t="inlineStr">
        <is>
          <t/>
        </is>
      </c>
      <c r="BA123" s="61" t="inlineStr">
        <is>
          <t/>
        </is>
      </c>
      <c r="BB123" s="62" t="inlineStr">
        <is>
          <t>Foresight Group (www.foresightgroup.eu), Juno Capital (www.junocapital.co.uk), Notion Capital (www.notioncapital.com), Quayle Munro (www.quaylemunro.com), VentureFounders (www.venturefounders.co.uk)</t>
        </is>
      </c>
      <c r="BC123" s="63" t="inlineStr">
        <is>
          <t/>
        </is>
      </c>
      <c r="BD123" s="64" t="inlineStr">
        <is>
          <t/>
        </is>
      </c>
      <c r="BE123" s="65" t="inlineStr">
        <is>
          <t>Orrick, Herrington &amp; Sutcliffe (Legal Advisor)</t>
        </is>
      </c>
      <c r="BF123" s="66" t="inlineStr">
        <is>
          <t>VentureFounders (Lead Manager or Arranger), Orrick, Herrington &amp; Sutcliffe (Legal Advisor), Boost&amp;Co (Debt Financing)</t>
        </is>
      </c>
      <c r="BG123" s="67" t="n">
        <v>39022.0</v>
      </c>
      <c r="BH123" s="68" t="n">
        <v>0.19</v>
      </c>
      <c r="BI123" s="69" t="inlineStr">
        <is>
          <t>Actual</t>
        </is>
      </c>
      <c r="BJ123" s="70" t="inlineStr">
        <is>
          <t/>
        </is>
      </c>
      <c r="BK123" s="71" t="inlineStr">
        <is>
          <t/>
        </is>
      </c>
      <c r="BL123" s="72" t="inlineStr">
        <is>
          <t>Seed Round</t>
        </is>
      </c>
      <c r="BM123" s="73" t="inlineStr">
        <is>
          <t>Seed</t>
        </is>
      </c>
      <c r="BN123" s="74" t="inlineStr">
        <is>
          <t/>
        </is>
      </c>
      <c r="BO123" s="75" t="inlineStr">
        <is>
          <t>Venture Capital</t>
        </is>
      </c>
      <c r="BP123" s="76" t="inlineStr">
        <is>
          <t/>
        </is>
      </c>
      <c r="BQ123" s="77" t="inlineStr">
        <is>
          <t/>
        </is>
      </c>
      <c r="BR123" s="78" t="inlineStr">
        <is>
          <t/>
        </is>
      </c>
      <c r="BS123" s="79" t="inlineStr">
        <is>
          <t>Completed</t>
        </is>
      </c>
      <c r="BT123" s="80" t="n">
        <v>42809.0</v>
      </c>
      <c r="BU123" s="81" t="n">
        <v>1.68</v>
      </c>
      <c r="BV123" s="82" t="inlineStr">
        <is>
          <t>Actual</t>
        </is>
      </c>
      <c r="BW123" s="83" t="inlineStr">
        <is>
          <t/>
        </is>
      </c>
      <c r="BX123" s="84" t="inlineStr">
        <is>
          <t/>
        </is>
      </c>
      <c r="BY123" s="85" t="inlineStr">
        <is>
          <t>Later Stage VC</t>
        </is>
      </c>
      <c r="BZ123" s="86" t="inlineStr">
        <is>
          <t>Series A</t>
        </is>
      </c>
      <c r="CA123" s="87" t="inlineStr">
        <is>
          <t/>
        </is>
      </c>
      <c r="CB123" s="88" t="inlineStr">
        <is>
          <t>Venture Capital</t>
        </is>
      </c>
      <c r="CC123" s="89" t="inlineStr">
        <is>
          <t/>
        </is>
      </c>
      <c r="CD123" s="90" t="inlineStr">
        <is>
          <t/>
        </is>
      </c>
      <c r="CE123" s="91" t="inlineStr">
        <is>
          <t/>
        </is>
      </c>
      <c r="CF123" s="92" t="inlineStr">
        <is>
          <t>Completed</t>
        </is>
      </c>
      <c r="CG123" s="93" t="inlineStr">
        <is>
          <t>4,15%</t>
        </is>
      </c>
      <c r="CH123" s="94" t="inlineStr">
        <is>
          <t>99</t>
        </is>
      </c>
      <c r="CI123" s="95" t="inlineStr">
        <is>
          <t>-0,40%</t>
        </is>
      </c>
      <c r="CJ123" s="96" t="inlineStr">
        <is>
          <t>-8,79%</t>
        </is>
      </c>
      <c r="CK123" s="97" t="inlineStr">
        <is>
          <t>8,35%</t>
        </is>
      </c>
      <c r="CL123" s="98" t="inlineStr">
        <is>
          <t>100</t>
        </is>
      </c>
      <c r="CM123" s="99" t="inlineStr">
        <is>
          <t>-0,05%</t>
        </is>
      </c>
      <c r="CN123" s="100" t="inlineStr">
        <is>
          <t>9</t>
        </is>
      </c>
      <c r="CO123" s="101" t="inlineStr">
        <is>
          <t>-8,75%</t>
        </is>
      </c>
      <c r="CP123" s="102" t="inlineStr">
        <is>
          <t>14</t>
        </is>
      </c>
      <c r="CQ123" s="103" t="inlineStr">
        <is>
          <t>25,46%</t>
        </is>
      </c>
      <c r="CR123" s="104" t="inlineStr">
        <is>
          <t>100</t>
        </is>
      </c>
      <c r="CS123" s="105" t="inlineStr">
        <is>
          <t/>
        </is>
      </c>
      <c r="CT123" s="106" t="inlineStr">
        <is>
          <t/>
        </is>
      </c>
      <c r="CU123" s="107" t="inlineStr">
        <is>
          <t>-0,05%</t>
        </is>
      </c>
      <c r="CV123" s="108" t="inlineStr">
        <is>
          <t>14</t>
        </is>
      </c>
      <c r="CW123" s="109" t="inlineStr">
        <is>
          <t>57,40x</t>
        </is>
      </c>
      <c r="CX123" s="110" t="inlineStr">
        <is>
          <t>97</t>
        </is>
      </c>
      <c r="CY123" s="111" t="inlineStr">
        <is>
          <t>5,59x</t>
        </is>
      </c>
      <c r="CZ123" s="112" t="inlineStr">
        <is>
          <t>10,80%</t>
        </is>
      </c>
      <c r="DA123" s="113" t="inlineStr">
        <is>
          <t>111,43x</t>
        </is>
      </c>
      <c r="DB123" s="114" t="inlineStr">
        <is>
          <t>99</t>
        </is>
      </c>
      <c r="DC123" s="115" t="inlineStr">
        <is>
          <t>3,37x</t>
        </is>
      </c>
      <c r="DD123" s="116" t="inlineStr">
        <is>
          <t>71</t>
        </is>
      </c>
      <c r="DE123" s="117" t="inlineStr">
        <is>
          <t>1,33x</t>
        </is>
      </c>
      <c r="DF123" s="118" t="inlineStr">
        <is>
          <t>57</t>
        </is>
      </c>
      <c r="DG123" s="119" t="inlineStr">
        <is>
          <t>221,53x</t>
        </is>
      </c>
      <c r="DH123" s="120" t="inlineStr">
        <is>
          <t>100</t>
        </is>
      </c>
      <c r="DI123" s="121" t="inlineStr">
        <is>
          <t/>
        </is>
      </c>
      <c r="DJ123" s="122" t="inlineStr">
        <is>
          <t/>
        </is>
      </c>
      <c r="DK123" s="123" t="inlineStr">
        <is>
          <t>3,37x</t>
        </is>
      </c>
      <c r="DL123" s="124" t="inlineStr">
        <is>
          <t>73</t>
        </is>
      </c>
      <c r="DM123" s="125" t="inlineStr">
        <is>
          <t>498</t>
        </is>
      </c>
      <c r="DN123" s="126" t="inlineStr">
        <is>
          <t>-33</t>
        </is>
      </c>
      <c r="DO123" s="127" t="inlineStr">
        <is>
          <t>-6,21%</t>
        </is>
      </c>
      <c r="DP123" s="128" t="inlineStr">
        <is>
          <t/>
        </is>
      </c>
      <c r="DQ123" s="129" t="inlineStr">
        <is>
          <t/>
        </is>
      </c>
      <c r="DR123" s="130" t="inlineStr">
        <is>
          <t/>
        </is>
      </c>
      <c r="DS123" s="131" t="inlineStr">
        <is>
          <t>7.628</t>
        </is>
      </c>
      <c r="DT123" s="132" t="inlineStr">
        <is>
          <t>808</t>
        </is>
      </c>
      <c r="DU123" s="133" t="inlineStr">
        <is>
          <t>11,85%</t>
        </is>
      </c>
      <c r="DV123" s="134" t="inlineStr">
        <is>
          <t>1.261</t>
        </is>
      </c>
      <c r="DW123" s="135" t="inlineStr">
        <is>
          <t>1</t>
        </is>
      </c>
      <c r="DX123" s="136" t="inlineStr">
        <is>
          <t>0,08%</t>
        </is>
      </c>
      <c r="DY123" s="137" t="inlineStr">
        <is>
          <t>PitchBook Research</t>
        </is>
      </c>
      <c r="DZ123" s="785">
        <f>HYPERLINK("https://my.pitchbook.com?c=57601-54", "View company online")</f>
      </c>
    </row>
    <row r="124">
      <c r="A124" s="139" t="inlineStr">
        <is>
          <t>60147-64</t>
        </is>
      </c>
      <c r="B124" s="140" t="inlineStr">
        <is>
          <t>Cortexica</t>
        </is>
      </c>
      <c r="C124" s="141" t="inlineStr">
        <is>
          <t/>
        </is>
      </c>
      <c r="D124" s="142" t="inlineStr">
        <is>
          <t/>
        </is>
      </c>
      <c r="E124" s="143" t="inlineStr">
        <is>
          <t>60147-64</t>
        </is>
      </c>
      <c r="F124" s="144" t="inlineStr">
        <is>
          <t>Provider of a visual search and image recognition technology for mobile devices designed to replicate the process and help computers recognize images. The company's visual search engine Look Builder, enables shoppers to upload a photo of a piece of clothing and find similar items in stores or shopping centers enabling them to search and look at products from a wide variety of stores as well as permitting retailers to acquire more customers and reduce operational costs.</t>
        </is>
      </c>
      <c r="G124" s="145" t="inlineStr">
        <is>
          <t>Information Technology</t>
        </is>
      </c>
      <c r="H124" s="146" t="inlineStr">
        <is>
          <t>Software</t>
        </is>
      </c>
      <c r="I124" s="147" t="inlineStr">
        <is>
          <t>Application Software</t>
        </is>
      </c>
      <c r="J124" s="148" t="inlineStr">
        <is>
          <t>Application Software*</t>
        </is>
      </c>
      <c r="K124" s="149" t="inlineStr">
        <is>
          <t>Artificial Intelligence &amp; Machine Learning, Mobile, SaaS</t>
        </is>
      </c>
      <c r="L124" s="150" t="inlineStr">
        <is>
          <t>Venture Capital-Backed</t>
        </is>
      </c>
      <c r="M124" s="151" t="n">
        <v>13.57</v>
      </c>
      <c r="N124" s="152" t="inlineStr">
        <is>
          <t>Generating Revenue</t>
        </is>
      </c>
      <c r="O124" s="153" t="inlineStr">
        <is>
          <t>Privately Held (backing)</t>
        </is>
      </c>
      <c r="P124" s="154" t="inlineStr">
        <is>
          <t>Venture Capital</t>
        </is>
      </c>
      <c r="Q124" s="155" t="inlineStr">
        <is>
          <t>www.cortexica.com</t>
        </is>
      </c>
      <c r="R124" s="156" t="n">
        <v>31.0</v>
      </c>
      <c r="S124" s="157" t="inlineStr">
        <is>
          <t/>
        </is>
      </c>
      <c r="T124" s="158" t="inlineStr">
        <is>
          <t/>
        </is>
      </c>
      <c r="U124" s="159" t="n">
        <v>2008.0</v>
      </c>
      <c r="V124" s="160" t="inlineStr">
        <is>
          <t/>
        </is>
      </c>
      <c r="W124" s="161" t="inlineStr">
        <is>
          <t/>
        </is>
      </c>
      <c r="X124" s="162" t="inlineStr">
        <is>
          <t/>
        </is>
      </c>
      <c r="Y124" s="163" t="n">
        <v>0.27562</v>
      </c>
      <c r="Z124" s="164" t="inlineStr">
        <is>
          <t/>
        </is>
      </c>
      <c r="AA124" s="165" t="n">
        <v>-3.92298</v>
      </c>
      <c r="AB124" s="166" t="inlineStr">
        <is>
          <t/>
        </is>
      </c>
      <c r="AC124" s="167" t="n">
        <v>-4.15266</v>
      </c>
      <c r="AD124" s="168" t="inlineStr">
        <is>
          <t>FY 2015</t>
        </is>
      </c>
      <c r="AE124" s="169" t="inlineStr">
        <is>
          <t>56923-12P</t>
        </is>
      </c>
      <c r="AF124" s="170" t="inlineStr">
        <is>
          <t>Iain McCready</t>
        </is>
      </c>
      <c r="AG124" s="171" t="inlineStr">
        <is>
          <t>Chief Executive Officer &amp; Board Member</t>
        </is>
      </c>
      <c r="AH124" s="172" t="inlineStr">
        <is>
          <t>iain.mccready@cortexica.com</t>
        </is>
      </c>
      <c r="AI124" s="173" t="inlineStr">
        <is>
          <t>+44 (0)20 3002 2822</t>
        </is>
      </c>
      <c r="AJ124" s="174" t="inlineStr">
        <is>
          <t>London, United Kingdom</t>
        </is>
      </c>
      <c r="AK124" s="175" t="inlineStr">
        <is>
          <t>Capital Tower 91, Waterloo Road</t>
        </is>
      </c>
      <c r="AL124" s="176" t="inlineStr">
        <is>
          <t>8th Floor, Suite 801</t>
        </is>
      </c>
      <c r="AM124" s="177" t="inlineStr">
        <is>
          <t>London</t>
        </is>
      </c>
      <c r="AN124" s="178" t="inlineStr">
        <is>
          <t>England</t>
        </is>
      </c>
      <c r="AO124" s="179" t="inlineStr">
        <is>
          <t>SE1 8RT</t>
        </is>
      </c>
      <c r="AP124" s="180" t="inlineStr">
        <is>
          <t>United Kingdom</t>
        </is>
      </c>
      <c r="AQ124" s="181" t="inlineStr">
        <is>
          <t>+44 (0)20 3002 2822</t>
        </is>
      </c>
      <c r="AR124" s="182" t="inlineStr">
        <is>
          <t/>
        </is>
      </c>
      <c r="AS124" s="183" t="inlineStr">
        <is>
          <t>info@cortexica.com</t>
        </is>
      </c>
      <c r="AT124" s="184" t="inlineStr">
        <is>
          <t>Europe</t>
        </is>
      </c>
      <c r="AU124" s="185" t="inlineStr">
        <is>
          <t>Western Europe</t>
        </is>
      </c>
      <c r="AV124" s="186" t="inlineStr">
        <is>
          <t>The company raised GBP 2 million of venture funding from Touchstone Innovations in March 2017. Touchstone Innovations have so far invested about GBP 10 million in the company. The company will use the funding to continue to expand operations. Previously, the company raised GBP 4 million of venture funding from Touchstone Innovations in 2016.</t>
        </is>
      </c>
      <c r="AW124" s="187" t="inlineStr">
        <is>
          <t>Esmée Fairbairn Foundation, Touchstone Innovations</t>
        </is>
      </c>
      <c r="AX124" s="188" t="n">
        <v>2.0</v>
      </c>
      <c r="AY124" s="189" t="inlineStr">
        <is>
          <t/>
        </is>
      </c>
      <c r="AZ124" s="190" t="inlineStr">
        <is>
          <t/>
        </is>
      </c>
      <c r="BA124" s="191" t="inlineStr">
        <is>
          <t/>
        </is>
      </c>
      <c r="BB124" s="192" t="inlineStr">
        <is>
          <t>Esmée Fairbairn Foundation (www.esmeefairbairn.org.uk), Touchstone Innovations (www.touchstoneinnovations.com)</t>
        </is>
      </c>
      <c r="BC124" s="193" t="inlineStr">
        <is>
          <t/>
        </is>
      </c>
      <c r="BD124" s="194" t="inlineStr">
        <is>
          <t/>
        </is>
      </c>
      <c r="BE124" s="195" t="inlineStr">
        <is>
          <t>Deloitte (Auditor), Peloton Leadership Network (Consulting)</t>
        </is>
      </c>
      <c r="BF124" s="196" t="inlineStr">
        <is>
          <t/>
        </is>
      </c>
      <c r="BG124" s="197" t="n">
        <v>39814.0</v>
      </c>
      <c r="BH124" s="198" t="n">
        <v>0.51</v>
      </c>
      <c r="BI124" s="199" t="inlineStr">
        <is>
          <t>Actual</t>
        </is>
      </c>
      <c r="BJ124" s="200" t="inlineStr">
        <is>
          <t/>
        </is>
      </c>
      <c r="BK124" s="201" t="inlineStr">
        <is>
          <t/>
        </is>
      </c>
      <c r="BL124" s="202" t="inlineStr">
        <is>
          <t>Seed Round</t>
        </is>
      </c>
      <c r="BM124" s="203" t="inlineStr">
        <is>
          <t>Seed</t>
        </is>
      </c>
      <c r="BN124" s="204" t="inlineStr">
        <is>
          <t/>
        </is>
      </c>
      <c r="BO124" s="205" t="inlineStr">
        <is>
          <t>Venture Capital</t>
        </is>
      </c>
      <c r="BP124" s="206" t="inlineStr">
        <is>
          <t/>
        </is>
      </c>
      <c r="BQ124" s="207" t="inlineStr">
        <is>
          <t/>
        </is>
      </c>
      <c r="BR124" s="208" t="inlineStr">
        <is>
          <t/>
        </is>
      </c>
      <c r="BS124" s="209" t="inlineStr">
        <is>
          <t>Completed</t>
        </is>
      </c>
      <c r="BT124" s="210" t="n">
        <v>42795.0</v>
      </c>
      <c r="BU124" s="211" t="n">
        <v>2.31</v>
      </c>
      <c r="BV124" s="212" t="inlineStr">
        <is>
          <t>Actual</t>
        </is>
      </c>
      <c r="BW124" s="213" t="inlineStr">
        <is>
          <t/>
        </is>
      </c>
      <c r="BX124" s="214" t="inlineStr">
        <is>
          <t/>
        </is>
      </c>
      <c r="BY124" s="215" t="inlineStr">
        <is>
          <t>Later Stage VC</t>
        </is>
      </c>
      <c r="BZ124" s="216" t="inlineStr">
        <is>
          <t/>
        </is>
      </c>
      <c r="CA124" s="217" t="inlineStr">
        <is>
          <t/>
        </is>
      </c>
      <c r="CB124" s="218" t="inlineStr">
        <is>
          <t>Venture Capital</t>
        </is>
      </c>
      <c r="CC124" s="219" t="inlineStr">
        <is>
          <t/>
        </is>
      </c>
      <c r="CD124" s="220" t="inlineStr">
        <is>
          <t/>
        </is>
      </c>
      <c r="CE124" s="221" t="inlineStr">
        <is>
          <t/>
        </is>
      </c>
      <c r="CF124" s="222" t="inlineStr">
        <is>
          <t>Completed</t>
        </is>
      </c>
      <c r="CG124" s="223" t="inlineStr">
        <is>
          <t>-1,99%</t>
        </is>
      </c>
      <c r="CH124" s="224" t="inlineStr">
        <is>
          <t>9</t>
        </is>
      </c>
      <c r="CI124" s="225" t="inlineStr">
        <is>
          <t>-0,03%</t>
        </is>
      </c>
      <c r="CJ124" s="226" t="inlineStr">
        <is>
          <t>-1,36%</t>
        </is>
      </c>
      <c r="CK124" s="227" t="inlineStr">
        <is>
          <t>-3,96%</t>
        </is>
      </c>
      <c r="CL124" s="228" t="inlineStr">
        <is>
          <t>9</t>
        </is>
      </c>
      <c r="CM124" s="229" t="inlineStr">
        <is>
          <t>-0,01%</t>
        </is>
      </c>
      <c r="CN124" s="230" t="inlineStr">
        <is>
          <t>18</t>
        </is>
      </c>
      <c r="CO124" s="231" t="inlineStr">
        <is>
          <t>-6,12%</t>
        </is>
      </c>
      <c r="CP124" s="232" t="inlineStr">
        <is>
          <t>19</t>
        </is>
      </c>
      <c r="CQ124" s="233" t="inlineStr">
        <is>
          <t>-1,79%</t>
        </is>
      </c>
      <c r="CR124" s="234" t="inlineStr">
        <is>
          <t>4</t>
        </is>
      </c>
      <c r="CS124" s="235" t="inlineStr">
        <is>
          <t>0,02%</t>
        </is>
      </c>
      <c r="CT124" s="236" t="inlineStr">
        <is>
          <t>43</t>
        </is>
      </c>
      <c r="CU124" s="237" t="inlineStr">
        <is>
          <t>-0,05%</t>
        </is>
      </c>
      <c r="CV124" s="238" t="inlineStr">
        <is>
          <t>14</t>
        </is>
      </c>
      <c r="CW124" s="239" t="inlineStr">
        <is>
          <t>4,80x</t>
        </is>
      </c>
      <c r="CX124" s="240" t="inlineStr">
        <is>
          <t>79</t>
        </is>
      </c>
      <c r="CY124" s="241" t="inlineStr">
        <is>
          <t>-0,06x</t>
        </is>
      </c>
      <c r="CZ124" s="242" t="inlineStr">
        <is>
          <t>-1,32%</t>
        </is>
      </c>
      <c r="DA124" s="243" t="inlineStr">
        <is>
          <t>3,71x</t>
        </is>
      </c>
      <c r="DB124" s="244" t="inlineStr">
        <is>
          <t>77</t>
        </is>
      </c>
      <c r="DC124" s="245" t="inlineStr">
        <is>
          <t>5,90x</t>
        </is>
      </c>
      <c r="DD124" s="246" t="inlineStr">
        <is>
          <t>78</t>
        </is>
      </c>
      <c r="DE124" s="247" t="inlineStr">
        <is>
          <t>1,22x</t>
        </is>
      </c>
      <c r="DF124" s="248" t="inlineStr">
        <is>
          <t>55</t>
        </is>
      </c>
      <c r="DG124" s="249" t="inlineStr">
        <is>
          <t>6,19x</t>
        </is>
      </c>
      <c r="DH124" s="250" t="inlineStr">
        <is>
          <t>81</t>
        </is>
      </c>
      <c r="DI124" s="251" t="inlineStr">
        <is>
          <t>1,45x</t>
        </is>
      </c>
      <c r="DJ124" s="252" t="inlineStr">
        <is>
          <t>57</t>
        </is>
      </c>
      <c r="DK124" s="253" t="inlineStr">
        <is>
          <t>10,36x</t>
        </is>
      </c>
      <c r="DL124" s="254" t="inlineStr">
        <is>
          <t>87</t>
        </is>
      </c>
      <c r="DM124" s="255" t="inlineStr">
        <is>
          <t>552</t>
        </is>
      </c>
      <c r="DN124" s="256" t="inlineStr">
        <is>
          <t>-303</t>
        </is>
      </c>
      <c r="DO124" s="257" t="inlineStr">
        <is>
          <t>-35,44%</t>
        </is>
      </c>
      <c r="DP124" s="258" t="inlineStr">
        <is>
          <t>1.145</t>
        </is>
      </c>
      <c r="DQ124" s="259" t="inlineStr">
        <is>
          <t>1</t>
        </is>
      </c>
      <c r="DR124" s="260" t="inlineStr">
        <is>
          <t>0,09%</t>
        </is>
      </c>
      <c r="DS124" s="261" t="inlineStr">
        <is>
          <t>225</t>
        </is>
      </c>
      <c r="DT124" s="262" t="inlineStr">
        <is>
          <t>-4</t>
        </is>
      </c>
      <c r="DU124" s="263" t="inlineStr">
        <is>
          <t>-1,75%</t>
        </is>
      </c>
      <c r="DV124" s="264" t="inlineStr">
        <is>
          <t>3.876</t>
        </is>
      </c>
      <c r="DW124" s="265" t="inlineStr">
        <is>
          <t>-5</t>
        </is>
      </c>
      <c r="DX124" s="266" t="inlineStr">
        <is>
          <t>-0,13%</t>
        </is>
      </c>
      <c r="DY124" s="267" t="inlineStr">
        <is>
          <t>PitchBook Research</t>
        </is>
      </c>
      <c r="DZ124" s="786">
        <f>HYPERLINK("https://my.pitchbook.com?c=60147-64", "View company online")</f>
      </c>
    </row>
    <row r="125">
      <c r="A125" s="9" t="inlineStr">
        <is>
          <t>98787-43</t>
        </is>
      </c>
      <c r="B125" s="10" t="inlineStr">
        <is>
          <t>NetGuardians</t>
        </is>
      </c>
      <c r="C125" s="11" t="inlineStr">
        <is>
          <t/>
        </is>
      </c>
      <c r="D125" s="12" t="inlineStr">
        <is>
          <t/>
        </is>
      </c>
      <c r="E125" s="13" t="inlineStr">
        <is>
          <t>98787-43</t>
        </is>
      </c>
      <c r="F125" s="14" t="inlineStr">
        <is>
          <t>Developer of a fraud prevention and risk mitigation platform designed to analyze behaviors across the entire bank system beat fraud and automate compliance. The company's fraud prevention and risk mitigation platform is a big data technology platform that correlates and uses smart behavioral analysis to identify a typical online activity, to control data leaks and assess potential internal fraud, enabling banks to improve the customer experience, operations, prevention of emerging risks and lower costs.</t>
        </is>
      </c>
      <c r="G125" s="15" t="inlineStr">
        <is>
          <t>Information Technology</t>
        </is>
      </c>
      <c r="H125" s="16" t="inlineStr">
        <is>
          <t>Software</t>
        </is>
      </c>
      <c r="I125" s="17" t="inlineStr">
        <is>
          <t>Network Management Software</t>
        </is>
      </c>
      <c r="J125" s="18" t="inlineStr">
        <is>
          <t>Network Management Software*</t>
        </is>
      </c>
      <c r="K125" s="19" t="inlineStr">
        <is>
          <t>Big Data, Cybersecurity, FinTech, SaaS</t>
        </is>
      </c>
      <c r="L125" s="20" t="inlineStr">
        <is>
          <t>Venture Capital-Backed</t>
        </is>
      </c>
      <c r="M125" s="21" t="n">
        <v>13.56</v>
      </c>
      <c r="N125" s="22" t="inlineStr">
        <is>
          <t>Generating Revenue</t>
        </is>
      </c>
      <c r="O125" s="23" t="inlineStr">
        <is>
          <t>Privately Held (backing)</t>
        </is>
      </c>
      <c r="P125" s="24" t="inlineStr">
        <is>
          <t>Venture Capital</t>
        </is>
      </c>
      <c r="Q125" s="25" t="inlineStr">
        <is>
          <t>www.netguardians.ch</t>
        </is>
      </c>
      <c r="R125" s="26" t="n">
        <v>40.0</v>
      </c>
      <c r="S125" s="27" t="inlineStr">
        <is>
          <t/>
        </is>
      </c>
      <c r="T125" s="28" t="inlineStr">
        <is>
          <t/>
        </is>
      </c>
      <c r="U125" s="29" t="n">
        <v>2007.0</v>
      </c>
      <c r="V125" s="30" t="inlineStr">
        <is>
          <t/>
        </is>
      </c>
      <c r="W125" s="31" t="inlineStr">
        <is>
          <t/>
        </is>
      </c>
      <c r="X125" s="32" t="inlineStr">
        <is>
          <t/>
        </is>
      </c>
      <c r="Y125" s="33" t="n">
        <v>0.88476</v>
      </c>
      <c r="Z125" s="34" t="inlineStr">
        <is>
          <t/>
        </is>
      </c>
      <c r="AA125" s="35" t="inlineStr">
        <is>
          <t/>
        </is>
      </c>
      <c r="AB125" s="36" t="inlineStr">
        <is>
          <t/>
        </is>
      </c>
      <c r="AC125" s="37" t="inlineStr">
        <is>
          <t/>
        </is>
      </c>
      <c r="AD125" s="38" t="inlineStr">
        <is>
          <t>FY 2014</t>
        </is>
      </c>
      <c r="AE125" s="39" t="inlineStr">
        <is>
          <t>82795-42P</t>
        </is>
      </c>
      <c r="AF125" s="40" t="inlineStr">
        <is>
          <t>Joël Winteregg</t>
        </is>
      </c>
      <c r="AG125" s="41" t="inlineStr">
        <is>
          <t>Co-Founder, Chief Executive Officer &amp; Board Member</t>
        </is>
      </c>
      <c r="AH125" s="42" t="inlineStr">
        <is>
          <t>winteregg@netguardians.ch</t>
        </is>
      </c>
      <c r="AI125" s="43" t="inlineStr">
        <is>
          <t>+41 (0)24 425 9760</t>
        </is>
      </c>
      <c r="AJ125" s="44" t="inlineStr">
        <is>
          <t>Yverdon-les-Bains, Switzerland</t>
        </is>
      </c>
      <c r="AK125" s="45" t="inlineStr">
        <is>
          <t>Y-Parc</t>
        </is>
      </c>
      <c r="AL125" s="46" t="inlineStr">
        <is>
          <t>Rue Galilee 6</t>
        </is>
      </c>
      <c r="AM125" s="47" t="inlineStr">
        <is>
          <t>Yverdon-les-Bains</t>
        </is>
      </c>
      <c r="AN125" s="48" t="inlineStr">
        <is>
          <t/>
        </is>
      </c>
      <c r="AO125" s="49" t="inlineStr">
        <is>
          <t>1400</t>
        </is>
      </c>
      <c r="AP125" s="50" t="inlineStr">
        <is>
          <t>Switzerland</t>
        </is>
      </c>
      <c r="AQ125" s="51" t="inlineStr">
        <is>
          <t>+41 (0)24 425 9760</t>
        </is>
      </c>
      <c r="AR125" s="52" t="inlineStr">
        <is>
          <t>+41 (0)24 425 9765</t>
        </is>
      </c>
      <c r="AS125" s="53" t="inlineStr">
        <is>
          <t>info@netguardians.ch</t>
        </is>
      </c>
      <c r="AT125" s="54" t="inlineStr">
        <is>
          <t>Europe</t>
        </is>
      </c>
      <c r="AU125" s="55" t="inlineStr">
        <is>
          <t>Western Europe</t>
        </is>
      </c>
      <c r="AV125" s="56" t="inlineStr">
        <is>
          <t>The company raised CHF 8.5 million of Series C venture funding from Swisscom Ventures and Freemont Management on May 30, 2017. The company intends to us the funds for continued global sales and marketing expansion and for further investment in their proprietary behavioral software platform.</t>
        </is>
      </c>
      <c r="AW125" s="57" t="inlineStr">
        <is>
          <t>FortRoss Ventures, Freemont Management, Orbium, School of Business and Engineering Vaud, Swiss Finance Startups, Swisscom Ventures, Y-Parc</t>
        </is>
      </c>
      <c r="AX125" s="58" t="n">
        <v>7.0</v>
      </c>
      <c r="AY125" s="59" t="inlineStr">
        <is>
          <t/>
        </is>
      </c>
      <c r="AZ125" s="60" t="inlineStr">
        <is>
          <t>Polytech Ecosystem Ventures</t>
        </is>
      </c>
      <c r="BA125" s="61" t="inlineStr">
        <is>
          <t/>
        </is>
      </c>
      <c r="BB125" s="62" t="inlineStr">
        <is>
          <t>FortRoss Ventures (www.fortross.vc), School of Business and Engineering Vaud (heig-vd.ch), Swiss Finance Startups (www.swissfinancestartups.com), Y-Parc (www.y-parc.ch)</t>
        </is>
      </c>
      <c r="BC125" s="63" t="inlineStr">
        <is>
          <t>Polytech Ecosystem Ventures (www.polytechecosystem.vc)</t>
        </is>
      </c>
      <c r="BD125" s="64" t="inlineStr">
        <is>
          <t/>
        </is>
      </c>
      <c r="BE125" s="65" t="inlineStr">
        <is>
          <t/>
        </is>
      </c>
      <c r="BF125" s="66" t="inlineStr">
        <is>
          <t/>
        </is>
      </c>
      <c r="BG125" s="67" t="n">
        <v>39083.0</v>
      </c>
      <c r="BH125" s="68" t="inlineStr">
        <is>
          <t/>
        </is>
      </c>
      <c r="BI125" s="69" t="inlineStr">
        <is>
          <t/>
        </is>
      </c>
      <c r="BJ125" s="70" t="inlineStr">
        <is>
          <t/>
        </is>
      </c>
      <c r="BK125" s="71" t="inlineStr">
        <is>
          <t/>
        </is>
      </c>
      <c r="BL125" s="72" t="inlineStr">
        <is>
          <t>Accelerator/Incubator</t>
        </is>
      </c>
      <c r="BM125" s="73" t="inlineStr">
        <is>
          <t/>
        </is>
      </c>
      <c r="BN125" s="74" t="inlineStr">
        <is>
          <t/>
        </is>
      </c>
      <c r="BO125" s="75" t="inlineStr">
        <is>
          <t>Other</t>
        </is>
      </c>
      <c r="BP125" s="76" t="inlineStr">
        <is>
          <t/>
        </is>
      </c>
      <c r="BQ125" s="77" t="inlineStr">
        <is>
          <t/>
        </is>
      </c>
      <c r="BR125" s="78" t="inlineStr">
        <is>
          <t/>
        </is>
      </c>
      <c r="BS125" s="79" t="inlineStr">
        <is>
          <t>Completed</t>
        </is>
      </c>
      <c r="BT125" s="80" t="n">
        <v>42885.0</v>
      </c>
      <c r="BU125" s="81" t="n">
        <v>7.8</v>
      </c>
      <c r="BV125" s="82" t="inlineStr">
        <is>
          <t>Actual</t>
        </is>
      </c>
      <c r="BW125" s="83" t="inlineStr">
        <is>
          <t/>
        </is>
      </c>
      <c r="BX125" s="84" t="inlineStr">
        <is>
          <t/>
        </is>
      </c>
      <c r="BY125" s="85" t="inlineStr">
        <is>
          <t>Later Stage VC</t>
        </is>
      </c>
      <c r="BZ125" s="86" t="inlineStr">
        <is>
          <t>Series C</t>
        </is>
      </c>
      <c r="CA125" s="87" t="inlineStr">
        <is>
          <t/>
        </is>
      </c>
      <c r="CB125" s="88" t="inlineStr">
        <is>
          <t>Venture Capital</t>
        </is>
      </c>
      <c r="CC125" s="89" t="inlineStr">
        <is>
          <t/>
        </is>
      </c>
      <c r="CD125" s="90" t="inlineStr">
        <is>
          <t/>
        </is>
      </c>
      <c r="CE125" s="91" t="inlineStr">
        <is>
          <t/>
        </is>
      </c>
      <c r="CF125" s="92" t="inlineStr">
        <is>
          <t>Completed</t>
        </is>
      </c>
      <c r="CG125" s="93" t="inlineStr">
        <is>
          <t>-1,84%</t>
        </is>
      </c>
      <c r="CH125" s="94" t="inlineStr">
        <is>
          <t>10</t>
        </is>
      </c>
      <c r="CI125" s="95" t="inlineStr">
        <is>
          <t>0,01%</t>
        </is>
      </c>
      <c r="CJ125" s="96" t="inlineStr">
        <is>
          <t>0,41%</t>
        </is>
      </c>
      <c r="CK125" s="97" t="inlineStr">
        <is>
          <t>-4,29%</t>
        </is>
      </c>
      <c r="CL125" s="98" t="inlineStr">
        <is>
          <t>9</t>
        </is>
      </c>
      <c r="CM125" s="99" t="inlineStr">
        <is>
          <t>0,61%</t>
        </is>
      </c>
      <c r="CN125" s="100" t="inlineStr">
        <is>
          <t>91</t>
        </is>
      </c>
      <c r="CO125" s="101" t="inlineStr">
        <is>
          <t>-4,29%</t>
        </is>
      </c>
      <c r="CP125" s="102" t="inlineStr">
        <is>
          <t>23</t>
        </is>
      </c>
      <c r="CQ125" s="103" t="inlineStr">
        <is>
          <t/>
        </is>
      </c>
      <c r="CR125" s="104" t="inlineStr">
        <is>
          <t/>
        </is>
      </c>
      <c r="CS125" s="105" t="inlineStr">
        <is>
          <t>0,30%</t>
        </is>
      </c>
      <c r="CT125" s="106" t="inlineStr">
        <is>
          <t>78</t>
        </is>
      </c>
      <c r="CU125" s="107" t="inlineStr">
        <is>
          <t>0,92%</t>
        </is>
      </c>
      <c r="CV125" s="108" t="inlineStr">
        <is>
          <t>96</t>
        </is>
      </c>
      <c r="CW125" s="109" t="inlineStr">
        <is>
          <t>0,98x</t>
        </is>
      </c>
      <c r="CX125" s="110" t="inlineStr">
        <is>
          <t>49</t>
        </is>
      </c>
      <c r="CY125" s="111" t="inlineStr">
        <is>
          <t>0,00x</t>
        </is>
      </c>
      <c r="CZ125" s="112" t="inlineStr">
        <is>
          <t>-0,30%</t>
        </is>
      </c>
      <c r="DA125" s="113" t="inlineStr">
        <is>
          <t>0,23x</t>
        </is>
      </c>
      <c r="DB125" s="114" t="inlineStr">
        <is>
          <t>20</t>
        </is>
      </c>
      <c r="DC125" s="115" t="inlineStr">
        <is>
          <t>1,73x</t>
        </is>
      </c>
      <c r="DD125" s="116" t="inlineStr">
        <is>
          <t>59</t>
        </is>
      </c>
      <c r="DE125" s="117" t="inlineStr">
        <is>
          <t>0,23x</t>
        </is>
      </c>
      <c r="DF125" s="118" t="inlineStr">
        <is>
          <t>17</t>
        </is>
      </c>
      <c r="DG125" s="119" t="inlineStr">
        <is>
          <t/>
        </is>
      </c>
      <c r="DH125" s="120" t="inlineStr">
        <is>
          <t/>
        </is>
      </c>
      <c r="DI125" s="121" t="inlineStr">
        <is>
          <t>0,38x</t>
        </is>
      </c>
      <c r="DJ125" s="122" t="inlineStr">
        <is>
          <t>34</t>
        </is>
      </c>
      <c r="DK125" s="123" t="inlineStr">
        <is>
          <t>3,08x</t>
        </is>
      </c>
      <c r="DL125" s="124" t="inlineStr">
        <is>
          <t>71</t>
        </is>
      </c>
      <c r="DM125" s="125" t="inlineStr">
        <is>
          <t>222</t>
        </is>
      </c>
      <c r="DN125" s="126" t="inlineStr">
        <is>
          <t>-318</t>
        </is>
      </c>
      <c r="DO125" s="127" t="inlineStr">
        <is>
          <t>-58,89%</t>
        </is>
      </c>
      <c r="DP125" s="128" t="inlineStr">
        <is>
          <t>297</t>
        </is>
      </c>
      <c r="DQ125" s="129" t="inlineStr">
        <is>
          <t>0</t>
        </is>
      </c>
      <c r="DR125" s="130" t="inlineStr">
        <is>
          <t>0,00%</t>
        </is>
      </c>
      <c r="DS125" s="131" t="inlineStr">
        <is>
          <t/>
        </is>
      </c>
      <c r="DT125" s="132" t="inlineStr">
        <is>
          <t/>
        </is>
      </c>
      <c r="DU125" s="133" t="inlineStr">
        <is>
          <t/>
        </is>
      </c>
      <c r="DV125" s="134" t="inlineStr">
        <is>
          <t>1.149</t>
        </is>
      </c>
      <c r="DW125" s="135" t="inlineStr">
        <is>
          <t>11</t>
        </is>
      </c>
      <c r="DX125" s="136" t="inlineStr">
        <is>
          <t>0,97%</t>
        </is>
      </c>
      <c r="DY125" s="137" t="inlineStr">
        <is>
          <t>PitchBook Research</t>
        </is>
      </c>
      <c r="DZ125" s="785">
        <f>HYPERLINK("https://my.pitchbook.com?c=98787-43", "View company online")</f>
      </c>
    </row>
    <row r="126">
      <c r="A126" s="139" t="inlineStr">
        <is>
          <t>59171-32</t>
        </is>
      </c>
      <c r="B126" s="140" t="inlineStr">
        <is>
          <t>Synthace</t>
        </is>
      </c>
      <c r="C126" s="141" t="inlineStr">
        <is>
          <t/>
        </is>
      </c>
      <c r="D126" s="142" t="inlineStr">
        <is>
          <t/>
        </is>
      </c>
      <c r="E126" s="143" t="inlineStr">
        <is>
          <t>59171-32</t>
        </is>
      </c>
      <c r="F126" s="144" t="inlineStr">
        <is>
          <t>Developer of a language and software platform designed to bring end to end digitization to biotechnology. The company's operating system for biology Antha is a high level language designed to make reproducible and scalable workflows that can be readily edited and shared and easily automated on labs' existing equipment, enabling researchers to aim higher and achieve better results,.</t>
        </is>
      </c>
      <c r="G126" s="145" t="inlineStr">
        <is>
          <t>Healthcare</t>
        </is>
      </c>
      <c r="H126" s="146" t="inlineStr">
        <is>
          <t>Pharmaceuticals and Biotechnology</t>
        </is>
      </c>
      <c r="I126" s="147" t="inlineStr">
        <is>
          <t>Biotechnology</t>
        </is>
      </c>
      <c r="J126" s="148" t="inlineStr">
        <is>
          <t>Biotechnology*; Business/Productivity Software</t>
        </is>
      </c>
      <c r="K126" s="149" t="inlineStr">
        <is>
          <t>Life Sciences, SaaS</t>
        </is>
      </c>
      <c r="L126" s="150" t="inlineStr">
        <is>
          <t>Venture Capital-Backed</t>
        </is>
      </c>
      <c r="M126" s="151" t="n">
        <v>13.39</v>
      </c>
      <c r="N126" s="152" t="inlineStr">
        <is>
          <t>Generating Revenue</t>
        </is>
      </c>
      <c r="O126" s="153" t="inlineStr">
        <is>
          <t>Privately Held (backing)</t>
        </is>
      </c>
      <c r="P126" s="154" t="inlineStr">
        <is>
          <t>Venture Capital</t>
        </is>
      </c>
      <c r="Q126" s="155" t="inlineStr">
        <is>
          <t>www.synthace.com</t>
        </is>
      </c>
      <c r="R126" s="156" t="n">
        <v>20.0</v>
      </c>
      <c r="S126" s="157" t="inlineStr">
        <is>
          <t/>
        </is>
      </c>
      <c r="T126" s="158" t="inlineStr">
        <is>
          <t/>
        </is>
      </c>
      <c r="U126" s="159" t="n">
        <v>2011.0</v>
      </c>
      <c r="V126" s="160" t="inlineStr">
        <is>
          <t/>
        </is>
      </c>
      <c r="W126" s="161" t="inlineStr">
        <is>
          <t/>
        </is>
      </c>
      <c r="X126" s="162" t="inlineStr">
        <is>
          <t/>
        </is>
      </c>
      <c r="Y126" s="163" t="inlineStr">
        <is>
          <t/>
        </is>
      </c>
      <c r="Z126" s="164" t="inlineStr">
        <is>
          <t/>
        </is>
      </c>
      <c r="AA126" s="165" t="n">
        <v>-1.7364</v>
      </c>
      <c r="AB126" s="166" t="inlineStr">
        <is>
          <t/>
        </is>
      </c>
      <c r="AC126" s="167" t="inlineStr">
        <is>
          <t/>
        </is>
      </c>
      <c r="AD126" s="168" t="inlineStr">
        <is>
          <t>FY 2015</t>
        </is>
      </c>
      <c r="AE126" s="169" t="inlineStr">
        <is>
          <t>54201-88P</t>
        </is>
      </c>
      <c r="AF126" s="170" t="inlineStr">
        <is>
          <t>Timothy Fell</t>
        </is>
      </c>
      <c r="AG126" s="171" t="inlineStr">
        <is>
          <t>Chief Executive Officer &amp; Board Member</t>
        </is>
      </c>
      <c r="AH126" s="172" t="inlineStr">
        <is>
          <t>t.fell@synthace.com</t>
        </is>
      </c>
      <c r="AI126" s="173" t="inlineStr">
        <is>
          <t>+44 (0)20 7554 5877</t>
        </is>
      </c>
      <c r="AJ126" s="174" t="inlineStr">
        <is>
          <t>London, United Kingdom</t>
        </is>
      </c>
      <c r="AK126" s="175" t="inlineStr">
        <is>
          <t>The London Bioscience Innovation Center</t>
        </is>
      </c>
      <c r="AL126" s="176" t="inlineStr">
        <is>
          <t>2 Royal College Street</t>
        </is>
      </c>
      <c r="AM126" s="177" t="inlineStr">
        <is>
          <t>London</t>
        </is>
      </c>
      <c r="AN126" s="178" t="inlineStr">
        <is>
          <t>England</t>
        </is>
      </c>
      <c r="AO126" s="179" t="inlineStr">
        <is>
          <t>NW1 0NH</t>
        </is>
      </c>
      <c r="AP126" s="180" t="inlineStr">
        <is>
          <t>United Kingdom</t>
        </is>
      </c>
      <c r="AQ126" s="181" t="inlineStr">
        <is>
          <t>+44 (0)20 7554 5877</t>
        </is>
      </c>
      <c r="AR126" s="182" t="inlineStr">
        <is>
          <t/>
        </is>
      </c>
      <c r="AS126" s="183" t="inlineStr">
        <is>
          <t>info@synthace.com</t>
        </is>
      </c>
      <c r="AT126" s="184" t="inlineStr">
        <is>
          <t>Europe</t>
        </is>
      </c>
      <c r="AU126" s="185" t="inlineStr">
        <is>
          <t>Western Europe</t>
        </is>
      </c>
      <c r="AV126" s="186" t="inlineStr">
        <is>
          <t>The company raised GBP 7.4 million of Series A venture funding from White Cloud Capital, Amadeus Capital Partners and Eleven Two Capital on July 8, 2017. Sofinnova Partners, SOSV and Bioeconomy Capital also participated in the round. The funds will be used to expand the rapidly growing eco-system of biologists, lab instrumentation manufacturers, reagent &amp; consumable suppliers, bio-design &amp; analysis software developers and cloud providers adopting Antha as the connecting platform for biotechnology.</t>
        </is>
      </c>
      <c r="AW126" s="187" t="inlineStr">
        <is>
          <t>Amadeus Capital Partners, Bioeconomy Capital, Eleven Two Capital, Individual Investor, John Taysom, Midven, Rainbow Seedfund, Sofinnova Partners, SOSV, UCL Business, White Cloud Capital Advisors</t>
        </is>
      </c>
      <c r="AX126" s="188" t="n">
        <v>11.0</v>
      </c>
      <c r="AY126" s="189" t="inlineStr">
        <is>
          <t/>
        </is>
      </c>
      <c r="AZ126" s="190" t="inlineStr">
        <is>
          <t/>
        </is>
      </c>
      <c r="BA126" s="191" t="inlineStr">
        <is>
          <t/>
        </is>
      </c>
      <c r="BB126" s="192" t="inlineStr">
        <is>
          <t>Amadeus Capital Partners (www.amadeuscapital.com), Bioeconomy Capital (www.bioeconomycapital.com), Eleven Two Capital (www.eleventwocap.com), Midven (www.midven.co.uk), Rainbow Seedfund (www.rainbowseedfund.com), Sofinnova Partners (www.sofinnova.fr), SOSV (www.sosv.com), UCL Business (www.uclb.com), White Cloud Capital Advisors (www.whcloud.com)</t>
        </is>
      </c>
      <c r="BC126" s="193" t="inlineStr">
        <is>
          <t/>
        </is>
      </c>
      <c r="BD126" s="194" t="inlineStr">
        <is>
          <t/>
        </is>
      </c>
      <c r="BE126" s="195" t="inlineStr">
        <is>
          <t>Upscale UK (Consulting), Peloton Leadership Network (Consulting)</t>
        </is>
      </c>
      <c r="BF126" s="196" t="inlineStr">
        <is>
          <t/>
        </is>
      </c>
      <c r="BG126" s="197" t="n">
        <v>41340.0</v>
      </c>
      <c r="BH126" s="198" t="n">
        <v>0.58</v>
      </c>
      <c r="BI126" s="199" t="inlineStr">
        <is>
          <t>Actual</t>
        </is>
      </c>
      <c r="BJ126" s="200" t="inlineStr">
        <is>
          <t/>
        </is>
      </c>
      <c r="BK126" s="201" t="inlineStr">
        <is>
          <t/>
        </is>
      </c>
      <c r="BL126" s="202" t="inlineStr">
        <is>
          <t>Grant</t>
        </is>
      </c>
      <c r="BM126" s="203" t="inlineStr">
        <is>
          <t/>
        </is>
      </c>
      <c r="BN126" s="204" t="inlineStr">
        <is>
          <t/>
        </is>
      </c>
      <c r="BO126" s="205" t="inlineStr">
        <is>
          <t>Other</t>
        </is>
      </c>
      <c r="BP126" s="206" t="inlineStr">
        <is>
          <t/>
        </is>
      </c>
      <c r="BQ126" s="207" t="inlineStr">
        <is>
          <t/>
        </is>
      </c>
      <c r="BR126" s="208" t="inlineStr">
        <is>
          <t/>
        </is>
      </c>
      <c r="BS126" s="209" t="inlineStr">
        <is>
          <t>Completed</t>
        </is>
      </c>
      <c r="BT126" s="210" t="n">
        <v>42924.0</v>
      </c>
      <c r="BU126" s="211" t="n">
        <v>8.36</v>
      </c>
      <c r="BV126" s="212" t="inlineStr">
        <is>
          <t>Actual</t>
        </is>
      </c>
      <c r="BW126" s="213" t="inlineStr">
        <is>
          <t/>
        </is>
      </c>
      <c r="BX126" s="214" t="inlineStr">
        <is>
          <t/>
        </is>
      </c>
      <c r="BY126" s="215" t="inlineStr">
        <is>
          <t>Later Stage VC</t>
        </is>
      </c>
      <c r="BZ126" s="216" t="inlineStr">
        <is>
          <t>Series A</t>
        </is>
      </c>
      <c r="CA126" s="217" t="inlineStr">
        <is>
          <t/>
        </is>
      </c>
      <c r="CB126" s="218" t="inlineStr">
        <is>
          <t>Venture Capital</t>
        </is>
      </c>
      <c r="CC126" s="219" t="inlineStr">
        <is>
          <t/>
        </is>
      </c>
      <c r="CD126" s="220" t="inlineStr">
        <is>
          <t/>
        </is>
      </c>
      <c r="CE126" s="221" t="inlineStr">
        <is>
          <t/>
        </is>
      </c>
      <c r="CF126" s="222" t="inlineStr">
        <is>
          <t>Completed</t>
        </is>
      </c>
      <c r="CG126" s="223" t="inlineStr">
        <is>
          <t>0,46%</t>
        </is>
      </c>
      <c r="CH126" s="224" t="inlineStr">
        <is>
          <t>91</t>
        </is>
      </c>
      <c r="CI126" s="225" t="inlineStr">
        <is>
          <t>-0,13%</t>
        </is>
      </c>
      <c r="CJ126" s="226" t="inlineStr">
        <is>
          <t>-22,12%</t>
        </is>
      </c>
      <c r="CK126" s="227" t="inlineStr">
        <is>
          <t>0,00%</t>
        </is>
      </c>
      <c r="CL126" s="228" t="inlineStr">
        <is>
          <t>28</t>
        </is>
      </c>
      <c r="CM126" s="229" t="inlineStr">
        <is>
          <t>0,92%</t>
        </is>
      </c>
      <c r="CN126" s="230" t="inlineStr">
        <is>
          <t>95</t>
        </is>
      </c>
      <c r="CO126" s="231" t="inlineStr">
        <is>
          <t>0,00%</t>
        </is>
      </c>
      <c r="CP126" s="232" t="inlineStr">
        <is>
          <t>37</t>
        </is>
      </c>
      <c r="CQ126" s="233" t="inlineStr">
        <is>
          <t>0,00%</t>
        </is>
      </c>
      <c r="CR126" s="234" t="inlineStr">
        <is>
          <t>20</t>
        </is>
      </c>
      <c r="CS126" s="235" t="inlineStr">
        <is>
          <t>0,00%</t>
        </is>
      </c>
      <c r="CT126" s="236" t="inlineStr">
        <is>
          <t>18</t>
        </is>
      </c>
      <c r="CU126" s="237" t="inlineStr">
        <is>
          <t>1,84%</t>
        </is>
      </c>
      <c r="CV126" s="238" t="inlineStr">
        <is>
          <t>99</t>
        </is>
      </c>
      <c r="CW126" s="239" t="inlineStr">
        <is>
          <t>1,56x</t>
        </is>
      </c>
      <c r="CX126" s="240" t="inlineStr">
        <is>
          <t>59</t>
        </is>
      </c>
      <c r="CY126" s="241" t="inlineStr">
        <is>
          <t>0,00x</t>
        </is>
      </c>
      <c r="CZ126" s="242" t="inlineStr">
        <is>
          <t>0,00%</t>
        </is>
      </c>
      <c r="DA126" s="243" t="inlineStr">
        <is>
          <t>2,54x</t>
        </is>
      </c>
      <c r="DB126" s="244" t="inlineStr">
        <is>
          <t>71</t>
        </is>
      </c>
      <c r="DC126" s="245" t="inlineStr">
        <is>
          <t>0,57x</t>
        </is>
      </c>
      <c r="DD126" s="246" t="inlineStr">
        <is>
          <t>38</t>
        </is>
      </c>
      <c r="DE126" s="247" t="inlineStr">
        <is>
          <t>0,19x</t>
        </is>
      </c>
      <c r="DF126" s="248" t="inlineStr">
        <is>
          <t>12</t>
        </is>
      </c>
      <c r="DG126" s="249" t="inlineStr">
        <is>
          <t>4,89x</t>
        </is>
      </c>
      <c r="DH126" s="250" t="inlineStr">
        <is>
          <t>79</t>
        </is>
      </c>
      <c r="DI126" s="251" t="inlineStr">
        <is>
          <t>0,07x</t>
        </is>
      </c>
      <c r="DJ126" s="252" t="inlineStr">
        <is>
          <t>11</t>
        </is>
      </c>
      <c r="DK126" s="253" t="inlineStr">
        <is>
          <t>1,07x</t>
        </is>
      </c>
      <c r="DL126" s="254" t="inlineStr">
        <is>
          <t>52</t>
        </is>
      </c>
      <c r="DM126" s="255" t="inlineStr">
        <is>
          <t>108</t>
        </is>
      </c>
      <c r="DN126" s="256" t="inlineStr">
        <is>
          <t>-85</t>
        </is>
      </c>
      <c r="DO126" s="257" t="inlineStr">
        <is>
          <t>-44,04%</t>
        </is>
      </c>
      <c r="DP126" s="258" t="inlineStr">
        <is>
          <t>57</t>
        </is>
      </c>
      <c r="DQ126" s="259" t="inlineStr">
        <is>
          <t>0</t>
        </is>
      </c>
      <c r="DR126" s="260" t="inlineStr">
        <is>
          <t>0,00%</t>
        </is>
      </c>
      <c r="DS126" s="261" t="inlineStr">
        <is>
          <t>176</t>
        </is>
      </c>
      <c r="DT126" s="262" t="inlineStr">
        <is>
          <t>0</t>
        </is>
      </c>
      <c r="DU126" s="263" t="inlineStr">
        <is>
          <t>0,00%</t>
        </is>
      </c>
      <c r="DV126" s="264" t="inlineStr">
        <is>
          <t>398</t>
        </is>
      </c>
      <c r="DW126" s="265" t="inlineStr">
        <is>
          <t>4</t>
        </is>
      </c>
      <c r="DX126" s="266" t="inlineStr">
        <is>
          <t>1,02%</t>
        </is>
      </c>
      <c r="DY126" s="267" t="inlineStr">
        <is>
          <t>PitchBook Research</t>
        </is>
      </c>
      <c r="DZ126" s="786">
        <f>HYPERLINK("https://my.pitchbook.com?c=59171-32", "View company online")</f>
      </c>
    </row>
    <row r="127">
      <c r="A127" s="9" t="inlineStr">
        <is>
          <t>51324-85</t>
        </is>
      </c>
      <c r="B127" s="10" t="inlineStr">
        <is>
          <t>Abiquo</t>
        </is>
      </c>
      <c r="C127" s="11" t="inlineStr">
        <is>
          <t/>
        </is>
      </c>
      <c r="D127" s="12" t="inlineStr">
        <is>
          <t/>
        </is>
      </c>
      <c r="E127" s="13" t="inlineStr">
        <is>
          <t>51324-85</t>
        </is>
      </c>
      <c r="F127" s="14" t="inlineStr">
        <is>
          <t>Provider of an infrastructure management software for cloud computing environment. The company offers enterprise applications focusing on global infrastructure management, multi-tenancy, network and storage management, LDAP integration, configuration management, full featured reporting and pricing and billing.</t>
        </is>
      </c>
      <c r="G127" s="15" t="inlineStr">
        <is>
          <t>Information Technology</t>
        </is>
      </c>
      <c r="H127" s="16" t="inlineStr">
        <is>
          <t>Software</t>
        </is>
      </c>
      <c r="I127" s="17" t="inlineStr">
        <is>
          <t>Network Management Software</t>
        </is>
      </c>
      <c r="J127" s="18" t="inlineStr">
        <is>
          <t>Network Management Software*; Automation/Workflow Software</t>
        </is>
      </c>
      <c r="K127" s="19" t="inlineStr">
        <is>
          <t>SaaS</t>
        </is>
      </c>
      <c r="L127" s="20" t="inlineStr">
        <is>
          <t>Venture Capital-Backed</t>
        </is>
      </c>
      <c r="M127" s="21" t="n">
        <v>13.32</v>
      </c>
      <c r="N127" s="22" t="inlineStr">
        <is>
          <t>Generating Revenue</t>
        </is>
      </c>
      <c r="O127" s="23" t="inlineStr">
        <is>
          <t>Privately Held (backing)</t>
        </is>
      </c>
      <c r="P127" s="24" t="inlineStr">
        <is>
          <t>Venture Capital</t>
        </is>
      </c>
      <c r="Q127" s="25" t="inlineStr">
        <is>
          <t>www.abiquo.com</t>
        </is>
      </c>
      <c r="R127" s="26" t="n">
        <v>31.0</v>
      </c>
      <c r="S127" s="27" t="inlineStr">
        <is>
          <t/>
        </is>
      </c>
      <c r="T127" s="28" t="inlineStr">
        <is>
          <t/>
        </is>
      </c>
      <c r="U127" s="29" t="n">
        <v>2006.0</v>
      </c>
      <c r="V127" s="30" t="inlineStr">
        <is>
          <t/>
        </is>
      </c>
      <c r="W127" s="31" t="inlineStr">
        <is>
          <t/>
        </is>
      </c>
      <c r="X127" s="32" t="inlineStr">
        <is>
          <t/>
        </is>
      </c>
      <c r="Y127" s="33" t="inlineStr">
        <is>
          <t/>
        </is>
      </c>
      <c r="Z127" s="34" t="inlineStr">
        <is>
          <t/>
        </is>
      </c>
      <c r="AA127" s="35" t="inlineStr">
        <is>
          <t/>
        </is>
      </c>
      <c r="AB127" s="36" t="inlineStr">
        <is>
          <t/>
        </is>
      </c>
      <c r="AC127" s="37" t="inlineStr">
        <is>
          <t/>
        </is>
      </c>
      <c r="AD127" s="38" t="inlineStr">
        <is>
          <t/>
        </is>
      </c>
      <c r="AE127" s="39" t="inlineStr">
        <is>
          <t>41994-46P</t>
        </is>
      </c>
      <c r="AF127" s="40" t="inlineStr">
        <is>
          <t>Xavier Fernandez</t>
        </is>
      </c>
      <c r="AG127" s="41" t="inlineStr">
        <is>
          <t>Co-Founder, Owner, Chief Technology Officer, President, Vice President of Engineering &amp; Board Member</t>
        </is>
      </c>
      <c r="AH127" s="42" t="inlineStr">
        <is>
          <t>xavier.fernandez@abiquo.com</t>
        </is>
      </c>
      <c r="AI127" s="43" t="inlineStr">
        <is>
          <t>+44 (0)20 3151 0900</t>
        </is>
      </c>
      <c r="AJ127" s="44" t="inlineStr">
        <is>
          <t>Harrow, United Kingdom</t>
        </is>
      </c>
      <c r="AK127" s="45" t="inlineStr">
        <is>
          <t>1st Floor, Healthaid House</t>
        </is>
      </c>
      <c r="AL127" s="46" t="inlineStr">
        <is>
          <t>Marlborough Hill</t>
        </is>
      </c>
      <c r="AM127" s="47" t="inlineStr">
        <is>
          <t>Harrow</t>
        </is>
      </c>
      <c r="AN127" s="48" t="inlineStr">
        <is>
          <t>England</t>
        </is>
      </c>
      <c r="AO127" s="49" t="inlineStr">
        <is>
          <t>HA1 1UD</t>
        </is>
      </c>
      <c r="AP127" s="50" t="inlineStr">
        <is>
          <t>United Kingdom</t>
        </is>
      </c>
      <c r="AQ127" s="51" t="inlineStr">
        <is>
          <t>+44 (0)20 3151 0900</t>
        </is>
      </c>
      <c r="AR127" s="52" t="inlineStr">
        <is>
          <t/>
        </is>
      </c>
      <c r="AS127" s="53" t="inlineStr">
        <is>
          <t/>
        </is>
      </c>
      <c r="AT127" s="54" t="inlineStr">
        <is>
          <t>Europe</t>
        </is>
      </c>
      <c r="AU127" s="55" t="inlineStr">
        <is>
          <t>Western Europe</t>
        </is>
      </c>
      <c r="AV127" s="56" t="inlineStr">
        <is>
          <t>The company raised $1.13 million of series E1 venture funding from Balderton Capital, Eurecan and Nauta Capital on April 7, 2017. Other undisclosed investors also participated in the round. Previously, the company raised $1.92 million of venture funding from Intelectium, Helena Torras and Pete Malcom on August 14, 2014.</t>
        </is>
      </c>
      <c r="AW127" s="57" t="inlineStr">
        <is>
          <t>Balderton Capital, Caja Mediterráneo, Diego Mariño, Eurecan, Helena Torras, Individual Investor, Intelectium Business Acceleration, Kreos Capital, Nauta Capital, Oxford Capital Partners, Pete Malcolm</t>
        </is>
      </c>
      <c r="AX127" s="58" t="n">
        <v>11.0</v>
      </c>
      <c r="AY127" s="59" t="inlineStr">
        <is>
          <t/>
        </is>
      </c>
      <c r="AZ127" s="60" t="inlineStr">
        <is>
          <t>CorporacciónCan - Grupo Corporativo Empresarial Caja Navara</t>
        </is>
      </c>
      <c r="BA127" s="61" t="inlineStr">
        <is>
          <t/>
        </is>
      </c>
      <c r="BB127" s="62" t="inlineStr">
        <is>
          <t>Balderton Capital (www.balderton.com), Caja Mediterráneo (www.cam.es), Intelectium Business Acceleration (www.intelectium.com), Kreos Capital (www.kreoscapital.com), Nauta Capital (www.nautacapital.com), Oxford Capital Partners (www.oxcp.com)</t>
        </is>
      </c>
      <c r="BC127" s="63" t="inlineStr">
        <is>
          <t>CorporacciónCan - Grupo Corporativo Empresarial Caja Navara (www.corporaccioncan.com)</t>
        </is>
      </c>
      <c r="BD127" s="64" t="inlineStr">
        <is>
          <t/>
        </is>
      </c>
      <c r="BE127" s="65" t="inlineStr">
        <is>
          <t>Daversa Partners (Consulting), Nelson Mullins Riley &amp; Scarborough (Legal Advisor), DLA Piper (Legal Advisor)</t>
        </is>
      </c>
      <c r="BF127" s="66" t="inlineStr">
        <is>
          <t>Nelson Mullins Riley &amp; Scarborough (Legal Advisor), Daversa Partners (Consulting), Kreos Capital (Debt Financing)</t>
        </is>
      </c>
      <c r="BG127" s="67" t="n">
        <v>39448.0</v>
      </c>
      <c r="BH127" s="68" t="n">
        <v>0.54</v>
      </c>
      <c r="BI127" s="69" t="inlineStr">
        <is>
          <t>Actual</t>
        </is>
      </c>
      <c r="BJ127" s="70" t="inlineStr">
        <is>
          <t/>
        </is>
      </c>
      <c r="BK127" s="71" t="inlineStr">
        <is>
          <t/>
        </is>
      </c>
      <c r="BL127" s="72" t="inlineStr">
        <is>
          <t>Angel (individual)</t>
        </is>
      </c>
      <c r="BM127" s="73" t="inlineStr">
        <is>
          <t>Angel</t>
        </is>
      </c>
      <c r="BN127" s="74" t="inlineStr">
        <is>
          <t/>
        </is>
      </c>
      <c r="BO127" s="75" t="inlineStr">
        <is>
          <t>Individual</t>
        </is>
      </c>
      <c r="BP127" s="76" t="inlineStr">
        <is>
          <t/>
        </is>
      </c>
      <c r="BQ127" s="77" t="inlineStr">
        <is>
          <t/>
        </is>
      </c>
      <c r="BR127" s="78" t="inlineStr">
        <is>
          <t/>
        </is>
      </c>
      <c r="BS127" s="79" t="inlineStr">
        <is>
          <t>Completed</t>
        </is>
      </c>
      <c r="BT127" s="80" t="n">
        <v>42832.0</v>
      </c>
      <c r="BU127" s="81" t="n">
        <v>1.06</v>
      </c>
      <c r="BV127" s="82" t="inlineStr">
        <is>
          <t>Actual</t>
        </is>
      </c>
      <c r="BW127" s="83" t="inlineStr">
        <is>
          <t/>
        </is>
      </c>
      <c r="BX127" s="84" t="inlineStr">
        <is>
          <t/>
        </is>
      </c>
      <c r="BY127" s="85" t="inlineStr">
        <is>
          <t>Later Stage VC</t>
        </is>
      </c>
      <c r="BZ127" s="86" t="inlineStr">
        <is>
          <t>Series E1</t>
        </is>
      </c>
      <c r="CA127" s="87" t="inlineStr">
        <is>
          <t/>
        </is>
      </c>
      <c r="CB127" s="88" t="inlineStr">
        <is>
          <t>Venture Capital</t>
        </is>
      </c>
      <c r="CC127" s="89" t="inlineStr">
        <is>
          <t/>
        </is>
      </c>
      <c r="CD127" s="90" t="inlineStr">
        <is>
          <t/>
        </is>
      </c>
      <c r="CE127" s="91" t="inlineStr">
        <is>
          <t/>
        </is>
      </c>
      <c r="CF127" s="92" t="inlineStr">
        <is>
          <t>Completed</t>
        </is>
      </c>
      <c r="CG127" s="93" t="inlineStr">
        <is>
          <t>-0,39%</t>
        </is>
      </c>
      <c r="CH127" s="94" t="inlineStr">
        <is>
          <t>20</t>
        </is>
      </c>
      <c r="CI127" s="95" t="inlineStr">
        <is>
          <t>-0,02%</t>
        </is>
      </c>
      <c r="CJ127" s="96" t="inlineStr">
        <is>
          <t>-4,98%</t>
        </is>
      </c>
      <c r="CK127" s="97" t="inlineStr">
        <is>
          <t>-0,77%</t>
        </is>
      </c>
      <c r="CL127" s="98" t="inlineStr">
        <is>
          <t>21</t>
        </is>
      </c>
      <c r="CM127" s="99" t="inlineStr">
        <is>
          <t>-0,02%</t>
        </is>
      </c>
      <c r="CN127" s="100" t="inlineStr">
        <is>
          <t>15</t>
        </is>
      </c>
      <c r="CO127" s="101" t="inlineStr">
        <is>
          <t>0,00%</t>
        </is>
      </c>
      <c r="CP127" s="102" t="inlineStr">
        <is>
          <t>37</t>
        </is>
      </c>
      <c r="CQ127" s="103" t="inlineStr">
        <is>
          <t>-1,54%</t>
        </is>
      </c>
      <c r="CR127" s="104" t="inlineStr">
        <is>
          <t>5</t>
        </is>
      </c>
      <c r="CS127" s="105" t="inlineStr">
        <is>
          <t>0,08%</t>
        </is>
      </c>
      <c r="CT127" s="106" t="inlineStr">
        <is>
          <t>53</t>
        </is>
      </c>
      <c r="CU127" s="107" t="inlineStr">
        <is>
          <t>-0,11%</t>
        </is>
      </c>
      <c r="CV127" s="108" t="inlineStr">
        <is>
          <t>7</t>
        </is>
      </c>
      <c r="CW127" s="109" t="inlineStr">
        <is>
          <t>6,50x</t>
        </is>
      </c>
      <c r="CX127" s="110" t="inlineStr">
        <is>
          <t>83</t>
        </is>
      </c>
      <c r="CY127" s="111" t="inlineStr">
        <is>
          <t>-0,10x</t>
        </is>
      </c>
      <c r="CZ127" s="112" t="inlineStr">
        <is>
          <t>-1,48%</t>
        </is>
      </c>
      <c r="DA127" s="113" t="inlineStr">
        <is>
          <t>9,24x</t>
        </is>
      </c>
      <c r="DB127" s="114" t="inlineStr">
        <is>
          <t>88</t>
        </is>
      </c>
      <c r="DC127" s="115" t="inlineStr">
        <is>
          <t>3,77x</t>
        </is>
      </c>
      <c r="DD127" s="116" t="inlineStr">
        <is>
          <t>72</t>
        </is>
      </c>
      <c r="DE127" s="117" t="inlineStr">
        <is>
          <t>0,36x</t>
        </is>
      </c>
      <c r="DF127" s="118" t="inlineStr">
        <is>
          <t>26</t>
        </is>
      </c>
      <c r="DG127" s="119" t="inlineStr">
        <is>
          <t>18,11x</t>
        </is>
      </c>
      <c r="DH127" s="120" t="inlineStr">
        <is>
          <t>92</t>
        </is>
      </c>
      <c r="DI127" s="121" t="inlineStr">
        <is>
          <t>0,19x</t>
        </is>
      </c>
      <c r="DJ127" s="122" t="inlineStr">
        <is>
          <t>23</t>
        </is>
      </c>
      <c r="DK127" s="123" t="inlineStr">
        <is>
          <t>7,34x</t>
        </is>
      </c>
      <c r="DL127" s="124" t="inlineStr">
        <is>
          <t>84</t>
        </is>
      </c>
      <c r="DM127" s="125" t="inlineStr">
        <is>
          <t>152</t>
        </is>
      </c>
      <c r="DN127" s="126" t="inlineStr">
        <is>
          <t>-43</t>
        </is>
      </c>
      <c r="DO127" s="127" t="inlineStr">
        <is>
          <t>-22,05%</t>
        </is>
      </c>
      <c r="DP127" s="128" t="inlineStr">
        <is>
          <t>152</t>
        </is>
      </c>
      <c r="DQ127" s="129" t="inlineStr">
        <is>
          <t>0</t>
        </is>
      </c>
      <c r="DR127" s="130" t="inlineStr">
        <is>
          <t>0,00%</t>
        </is>
      </c>
      <c r="DS127" s="131" t="inlineStr">
        <is>
          <t>656</t>
        </is>
      </c>
      <c r="DT127" s="132" t="inlineStr">
        <is>
          <t>-11</t>
        </is>
      </c>
      <c r="DU127" s="133" t="inlineStr">
        <is>
          <t>-1,65%</t>
        </is>
      </c>
      <c r="DV127" s="134" t="inlineStr">
        <is>
          <t>2.745</t>
        </is>
      </c>
      <c r="DW127" s="135" t="inlineStr">
        <is>
          <t>-5</t>
        </is>
      </c>
      <c r="DX127" s="136" t="inlineStr">
        <is>
          <t>-0,18%</t>
        </is>
      </c>
      <c r="DY127" s="137" t="inlineStr">
        <is>
          <t>PitchBook Research</t>
        </is>
      </c>
      <c r="DZ127" s="785">
        <f>HYPERLINK("https://my.pitchbook.com?c=51324-85", "View company online")</f>
      </c>
    </row>
    <row r="128">
      <c r="A128" s="139" t="inlineStr">
        <is>
          <t>63226-09</t>
        </is>
      </c>
      <c r="B128" s="140" t="inlineStr">
        <is>
          <t>Pockit</t>
        </is>
      </c>
      <c r="C128" s="141" t="inlineStr">
        <is>
          <t/>
        </is>
      </c>
      <c r="D128" s="142" t="inlineStr">
        <is>
          <t/>
        </is>
      </c>
      <c r="E128" s="143" t="inlineStr">
        <is>
          <t>63226-09</t>
        </is>
      </c>
      <c r="F128" s="144" t="inlineStr">
        <is>
          <t>Provider of a mobile banking application designed to offer current account functionality. The company's mobile banking application offers an online prepaid MasterCard which gives cardholders the combined benefits of a prepaid card and savings on their key areas of household expenditure such as insurance, utilities, broadband, holidays, travel, high street shopping and optical and dental care enabling users to send money abroad to their relatives or for any purpose without any difficulties.</t>
        </is>
      </c>
      <c r="G128" s="145" t="inlineStr">
        <is>
          <t>Financial Services</t>
        </is>
      </c>
      <c r="H128" s="146" t="inlineStr">
        <is>
          <t>Other Financial Services</t>
        </is>
      </c>
      <c r="I128" s="147" t="inlineStr">
        <is>
          <t>Other Financial Services</t>
        </is>
      </c>
      <c r="J128" s="148" t="inlineStr">
        <is>
          <t>Other Financial Services*; Application Software; Financial Software</t>
        </is>
      </c>
      <c r="K128" s="149" t="inlineStr">
        <is>
          <t>FinTech, Mobile</t>
        </is>
      </c>
      <c r="L128" s="150" t="inlineStr">
        <is>
          <t>Venture Capital-Backed</t>
        </is>
      </c>
      <c r="M128" s="151" t="n">
        <v>12.01</v>
      </c>
      <c r="N128" s="152" t="inlineStr">
        <is>
          <t>Generating Revenue</t>
        </is>
      </c>
      <c r="O128" s="153" t="inlineStr">
        <is>
          <t>Privately Held (backing)</t>
        </is>
      </c>
      <c r="P128" s="154" t="inlineStr">
        <is>
          <t>Venture Capital</t>
        </is>
      </c>
      <c r="Q128" s="155" t="inlineStr">
        <is>
          <t>www.pockit.com</t>
        </is>
      </c>
      <c r="R128" s="156" t="n">
        <v>11.0</v>
      </c>
      <c r="S128" s="157" t="inlineStr">
        <is>
          <t/>
        </is>
      </c>
      <c r="T128" s="158" t="inlineStr">
        <is>
          <t/>
        </is>
      </c>
      <c r="U128" s="159" t="n">
        <v>2011.0</v>
      </c>
      <c r="V128" s="160" t="inlineStr">
        <is>
          <t/>
        </is>
      </c>
      <c r="W128" s="161" t="inlineStr">
        <is>
          <t/>
        </is>
      </c>
      <c r="X128" s="162" t="inlineStr">
        <is>
          <r>
            <rPr>
              <b/>
              <color rgb="ff26854d"/>
              <rFont val="Arial"/>
              <sz val="8.0"/>
            </rPr>
            <t>Competitor</t>
          </r>
          <r>
            <rPr>
              <color rgb="ff707070"/>
              <rFont val="Arial"/>
              <sz val="7.0"/>
            </rPr>
            <t xml:space="preserve"> NEW  </t>
          </r>
          <r>
            <rPr>
              <color rgb="ff000000"/>
              <rFont val="Arial"/>
              <sz val="8.0"/>
            </rPr>
            <t>Babyzen</t>
          </r>
        </is>
      </c>
      <c r="Y128" s="163" t="n">
        <v>8.05376</v>
      </c>
      <c r="Z128" s="164" t="inlineStr">
        <is>
          <t/>
        </is>
      </c>
      <c r="AA128" s="165" t="inlineStr">
        <is>
          <t/>
        </is>
      </c>
      <c r="AB128" s="166" t="inlineStr">
        <is>
          <t/>
        </is>
      </c>
      <c r="AC128" s="167" t="inlineStr">
        <is>
          <t/>
        </is>
      </c>
      <c r="AD128" s="168" t="inlineStr">
        <is>
          <t>FY 2018</t>
        </is>
      </c>
      <c r="AE128" s="169" t="inlineStr">
        <is>
          <t>88582-33P</t>
        </is>
      </c>
      <c r="AF128" s="170" t="inlineStr">
        <is>
          <t>Danny Jatania</t>
        </is>
      </c>
      <c r="AG128" s="171" t="inlineStr">
        <is>
          <t>Co-Founder</t>
        </is>
      </c>
      <c r="AH128" s="172" t="inlineStr">
        <is>
          <t>danny@pockit.com</t>
        </is>
      </c>
      <c r="AI128" s="173" t="inlineStr">
        <is>
          <t>+44 (0)20 3322 9170</t>
        </is>
      </c>
      <c r="AJ128" s="174" t="inlineStr">
        <is>
          <t>London, United Kingdom</t>
        </is>
      </c>
      <c r="AK128" s="175" t="inlineStr">
        <is>
          <t>Cavendish House</t>
        </is>
      </c>
      <c r="AL128" s="176" t="inlineStr">
        <is>
          <t>18 Cavendish Square</t>
        </is>
      </c>
      <c r="AM128" s="177" t="inlineStr">
        <is>
          <t>London</t>
        </is>
      </c>
      <c r="AN128" s="178" t="inlineStr">
        <is>
          <t>England</t>
        </is>
      </c>
      <c r="AO128" s="179" t="inlineStr">
        <is>
          <t>W1G 0PJ</t>
        </is>
      </c>
      <c r="AP128" s="180" t="inlineStr">
        <is>
          <t>United Kingdom</t>
        </is>
      </c>
      <c r="AQ128" s="181" t="inlineStr">
        <is>
          <t>+44 (0)20 3322 9170</t>
        </is>
      </c>
      <c r="AR128" s="182" t="inlineStr">
        <is>
          <t/>
        </is>
      </c>
      <c r="AS128" s="183" t="inlineStr">
        <is>
          <t>help@pockit.com</t>
        </is>
      </c>
      <c r="AT128" s="184" t="inlineStr">
        <is>
          <t>Europe</t>
        </is>
      </c>
      <c r="AU128" s="185" t="inlineStr">
        <is>
          <t>Western Europe</t>
        </is>
      </c>
      <c r="AV128" s="186" t="inlineStr">
        <is>
          <t>The company is in talks of raising an undisclosed amount of Series B venture funding as of April 25, 2017. Previously, the company joined Public.io as a part of their inaugural cohort in June 2017. Earlier, the company raised GBP 2.36 million of venture funding from undisclosed investors on April 25, 2017 and it has also raised GBP 60,000 of Series A venture funding from undisclosed investors in December 2016. The company is being actively tracked by PitchBook.</t>
        </is>
      </c>
      <c r="AW128" s="187" t="inlineStr">
        <is>
          <t>Concentric Team, Denis Shafranik, Ian Langley, Individual Investor, Public.io</t>
        </is>
      </c>
      <c r="AX128" s="188" t="n">
        <v>5.0</v>
      </c>
      <c r="AY128" s="189" t="inlineStr">
        <is>
          <t/>
        </is>
      </c>
      <c r="AZ128" s="190" t="inlineStr">
        <is>
          <t/>
        </is>
      </c>
      <c r="BA128" s="191" t="inlineStr">
        <is>
          <t/>
        </is>
      </c>
      <c r="BB128" s="192" t="inlineStr">
        <is>
          <t>Concentric Team (www.concentricteam.com), Denis Shafranik (www.ermakgroup.com), Public.io (www.public.io)</t>
        </is>
      </c>
      <c r="BC128" s="193" t="inlineStr">
        <is>
          <t/>
        </is>
      </c>
      <c r="BD128" s="194" t="inlineStr">
        <is>
          <t/>
        </is>
      </c>
      <c r="BE128" s="195" t="inlineStr">
        <is>
          <t>Upscale UK (Consulting)</t>
        </is>
      </c>
      <c r="BF128" s="196" t="inlineStr">
        <is>
          <t/>
        </is>
      </c>
      <c r="BG128" s="197" t="n">
        <v>40848.0</v>
      </c>
      <c r="BH128" s="198" t="n">
        <v>1.16</v>
      </c>
      <c r="BI128" s="199" t="inlineStr">
        <is>
          <t>Actual</t>
        </is>
      </c>
      <c r="BJ128" s="200" t="inlineStr">
        <is>
          <t/>
        </is>
      </c>
      <c r="BK128" s="201" t="inlineStr">
        <is>
          <t/>
        </is>
      </c>
      <c r="BL128" s="202" t="inlineStr">
        <is>
          <t>Seed Round</t>
        </is>
      </c>
      <c r="BM128" s="203" t="inlineStr">
        <is>
          <t>Seed</t>
        </is>
      </c>
      <c r="BN128" s="204" t="inlineStr">
        <is>
          <t/>
        </is>
      </c>
      <c r="BO128" s="205" t="inlineStr">
        <is>
          <t>Venture Capital</t>
        </is>
      </c>
      <c r="BP128" s="206" t="inlineStr">
        <is>
          <t/>
        </is>
      </c>
      <c r="BQ128" s="207" t="inlineStr">
        <is>
          <t/>
        </is>
      </c>
      <c r="BR128" s="208" t="inlineStr">
        <is>
          <t/>
        </is>
      </c>
      <c r="BS128" s="209" t="inlineStr">
        <is>
          <t>Completed</t>
        </is>
      </c>
      <c r="BT128" s="210" t="inlineStr">
        <is>
          <t/>
        </is>
      </c>
      <c r="BU128" s="211" t="inlineStr">
        <is>
          <t/>
        </is>
      </c>
      <c r="BV128" s="212" t="inlineStr">
        <is>
          <t/>
        </is>
      </c>
      <c r="BW128" s="213" t="inlineStr">
        <is>
          <t/>
        </is>
      </c>
      <c r="BX128" s="214" t="inlineStr">
        <is>
          <t/>
        </is>
      </c>
      <c r="BY128" s="215" t="inlineStr">
        <is>
          <t>Later Stage VC</t>
        </is>
      </c>
      <c r="BZ128" s="216" t="inlineStr">
        <is>
          <t>Series B</t>
        </is>
      </c>
      <c r="CA128" s="217" t="inlineStr">
        <is>
          <t/>
        </is>
      </c>
      <c r="CB128" s="218" t="inlineStr">
        <is>
          <t>Venture Capital</t>
        </is>
      </c>
      <c r="CC128" s="219" t="inlineStr">
        <is>
          <t/>
        </is>
      </c>
      <c r="CD128" s="220" t="inlineStr">
        <is>
          <t/>
        </is>
      </c>
      <c r="CE128" s="221" t="inlineStr">
        <is>
          <t/>
        </is>
      </c>
      <c r="CF128" s="222" t="inlineStr">
        <is>
          <t>Upcoming</t>
        </is>
      </c>
      <c r="CG128" s="223" t="inlineStr">
        <is>
          <t>-6,88%</t>
        </is>
      </c>
      <c r="CH128" s="224" t="inlineStr">
        <is>
          <t>2</t>
        </is>
      </c>
      <c r="CI128" s="225" t="inlineStr">
        <is>
          <t>-0,04%</t>
        </is>
      </c>
      <c r="CJ128" s="226" t="inlineStr">
        <is>
          <t>-0,62%</t>
        </is>
      </c>
      <c r="CK128" s="227" t="inlineStr">
        <is>
          <t>-14,27%</t>
        </is>
      </c>
      <c r="CL128" s="228" t="inlineStr">
        <is>
          <t>1</t>
        </is>
      </c>
      <c r="CM128" s="229" t="inlineStr">
        <is>
          <t>0,51%</t>
        </is>
      </c>
      <c r="CN128" s="230" t="inlineStr">
        <is>
          <t>89</t>
        </is>
      </c>
      <c r="CO128" s="231" t="inlineStr">
        <is>
          <t>-26,93%</t>
        </is>
      </c>
      <c r="CP128" s="232" t="inlineStr">
        <is>
          <t>2</t>
        </is>
      </c>
      <c r="CQ128" s="233" t="inlineStr">
        <is>
          <t>-1,61%</t>
        </is>
      </c>
      <c r="CR128" s="234" t="inlineStr">
        <is>
          <t>5</t>
        </is>
      </c>
      <c r="CS128" s="235" t="inlineStr">
        <is>
          <t>0,32%</t>
        </is>
      </c>
      <c r="CT128" s="236" t="inlineStr">
        <is>
          <t>79</t>
        </is>
      </c>
      <c r="CU128" s="237" t="inlineStr">
        <is>
          <t>0,69%</t>
        </is>
      </c>
      <c r="CV128" s="238" t="inlineStr">
        <is>
          <t>94</t>
        </is>
      </c>
      <c r="CW128" s="239" t="inlineStr">
        <is>
          <t>8,59x</t>
        </is>
      </c>
      <c r="CX128" s="240" t="inlineStr">
        <is>
          <t>86</t>
        </is>
      </c>
      <c r="CY128" s="241" t="inlineStr">
        <is>
          <t>-0,09x</t>
        </is>
      </c>
      <c r="CZ128" s="242" t="inlineStr">
        <is>
          <t>-1,07%</t>
        </is>
      </c>
      <c r="DA128" s="243" t="inlineStr">
        <is>
          <t>7,42x</t>
        </is>
      </c>
      <c r="DB128" s="244" t="inlineStr">
        <is>
          <t>86</t>
        </is>
      </c>
      <c r="DC128" s="245" t="inlineStr">
        <is>
          <t>9,76x</t>
        </is>
      </c>
      <c r="DD128" s="246" t="inlineStr">
        <is>
          <t>84</t>
        </is>
      </c>
      <c r="DE128" s="247" t="inlineStr">
        <is>
          <t>0,57x</t>
        </is>
      </c>
      <c r="DF128" s="248" t="inlineStr">
        <is>
          <t>37</t>
        </is>
      </c>
      <c r="DG128" s="249" t="inlineStr">
        <is>
          <t>14,28x</t>
        </is>
      </c>
      <c r="DH128" s="250" t="inlineStr">
        <is>
          <t>90</t>
        </is>
      </c>
      <c r="DI128" s="251" t="inlineStr">
        <is>
          <t>11,37x</t>
        </is>
      </c>
      <c r="DJ128" s="252" t="inlineStr">
        <is>
          <t>83</t>
        </is>
      </c>
      <c r="DK128" s="253" t="inlineStr">
        <is>
          <t>8,14x</t>
        </is>
      </c>
      <c r="DL128" s="254" t="inlineStr">
        <is>
          <t>85</t>
        </is>
      </c>
      <c r="DM128" s="255" t="inlineStr">
        <is>
          <t>211</t>
        </is>
      </c>
      <c r="DN128" s="256" t="inlineStr">
        <is>
          <t>7</t>
        </is>
      </c>
      <c r="DO128" s="257" t="inlineStr">
        <is>
          <t>3,43%</t>
        </is>
      </c>
      <c r="DP128" s="258" t="inlineStr">
        <is>
          <t>8.988</t>
        </is>
      </c>
      <c r="DQ128" s="259" t="inlineStr">
        <is>
          <t>42</t>
        </is>
      </c>
      <c r="DR128" s="260" t="inlineStr">
        <is>
          <t>0,47%</t>
        </is>
      </c>
      <c r="DS128" s="261" t="inlineStr">
        <is>
          <t>518</t>
        </is>
      </c>
      <c r="DT128" s="262" t="inlineStr">
        <is>
          <t>-9</t>
        </is>
      </c>
      <c r="DU128" s="263" t="inlineStr">
        <is>
          <t>-1,71%</t>
        </is>
      </c>
      <c r="DV128" s="264" t="inlineStr">
        <is>
          <t>3.043</t>
        </is>
      </c>
      <c r="DW128" s="265" t="inlineStr">
        <is>
          <t>40</t>
        </is>
      </c>
      <c r="DX128" s="266" t="inlineStr">
        <is>
          <t>1,33%</t>
        </is>
      </c>
      <c r="DY128" s="267" t="inlineStr">
        <is>
          <t>PitchBook Research</t>
        </is>
      </c>
      <c r="DZ128" s="786">
        <f>HYPERLINK("https://my.pitchbook.com?c=63226-09", "View company online")</f>
      </c>
    </row>
    <row r="129">
      <c r="A129" s="9" t="inlineStr">
        <is>
          <t>57080-62</t>
        </is>
      </c>
      <c r="B129" s="10" t="inlineStr">
        <is>
          <t>Barnebys</t>
        </is>
      </c>
      <c r="C129" s="11" t="inlineStr">
        <is>
          <t/>
        </is>
      </c>
      <c r="D129" s="12" t="inlineStr">
        <is>
          <t/>
        </is>
      </c>
      <c r="E129" s="13" t="inlineStr">
        <is>
          <t>57080-62</t>
        </is>
      </c>
      <c r="F129" s="14" t="inlineStr">
        <is>
          <t>Provider of an online search aggregator designed to helps people search for, compare and buy items from dealers and auction houses around the world. The company's online search aggregator features arts, antiques, and collectibles from 2,000 auction houses, dealers and has about 700,000 lots available to their users on a daily basis, providing buyers and sellers a free, online realized-price database documenting the final selling prices of 32 million items.</t>
        </is>
      </c>
      <c r="G129" s="15" t="inlineStr">
        <is>
          <t>Information Technology</t>
        </is>
      </c>
      <c r="H129" s="16" t="inlineStr">
        <is>
          <t>Software</t>
        </is>
      </c>
      <c r="I129" s="17" t="inlineStr">
        <is>
          <t>Social/Platform Software</t>
        </is>
      </c>
      <c r="J129" s="18" t="inlineStr">
        <is>
          <t>Social/Platform Software*</t>
        </is>
      </c>
      <c r="K129" s="19" t="inlineStr">
        <is>
          <t>E-Commerce</t>
        </is>
      </c>
      <c r="L129" s="20" t="inlineStr">
        <is>
          <t>Venture Capital-Backed</t>
        </is>
      </c>
      <c r="M129" s="21" t="n">
        <v>11.56</v>
      </c>
      <c r="N129" s="22" t="inlineStr">
        <is>
          <t>Generating Revenue/Not Profitable</t>
        </is>
      </c>
      <c r="O129" s="23" t="inlineStr">
        <is>
          <t>Privately Held (backing)</t>
        </is>
      </c>
      <c r="P129" s="24" t="inlineStr">
        <is>
          <t>Venture Capital</t>
        </is>
      </c>
      <c r="Q129" s="25" t="inlineStr">
        <is>
          <t>www.barnebys.com</t>
        </is>
      </c>
      <c r="R129" s="26" t="n">
        <v>43.0</v>
      </c>
      <c r="S129" s="27" t="inlineStr">
        <is>
          <t/>
        </is>
      </c>
      <c r="T129" s="28" t="inlineStr">
        <is>
          <t/>
        </is>
      </c>
      <c r="U129" s="29" t="n">
        <v>2011.0</v>
      </c>
      <c r="V129" s="30" t="inlineStr">
        <is>
          <t/>
        </is>
      </c>
      <c r="W129" s="31" t="inlineStr">
        <is>
          <t/>
        </is>
      </c>
      <c r="X129" s="32" t="inlineStr">
        <is>
          <t/>
        </is>
      </c>
      <c r="Y129" s="33" t="n">
        <v>1.41484</v>
      </c>
      <c r="Z129" s="34" t="inlineStr">
        <is>
          <t/>
        </is>
      </c>
      <c r="AA129" s="35" t="n">
        <v>-1.33216</v>
      </c>
      <c r="AB129" s="36" t="inlineStr">
        <is>
          <t/>
        </is>
      </c>
      <c r="AC129" s="37" t="n">
        <v>-1.48834</v>
      </c>
      <c r="AD129" s="38" t="inlineStr">
        <is>
          <t>FY 2015</t>
        </is>
      </c>
      <c r="AE129" s="39" t="inlineStr">
        <is>
          <t>53418-88P</t>
        </is>
      </c>
      <c r="AF129" s="40" t="inlineStr">
        <is>
          <t>Christopher Barnekow</t>
        </is>
      </c>
      <c r="AG129" s="41" t="inlineStr">
        <is>
          <t>Founding Partner &amp; Chief Executive Officer</t>
        </is>
      </c>
      <c r="AH129" s="42" t="inlineStr">
        <is>
          <t>christopher@barnebys.com</t>
        </is>
      </c>
      <c r="AI129" s="43" t="inlineStr">
        <is>
          <t>+46 (0)70 521 3570</t>
        </is>
      </c>
      <c r="AJ129" s="44" t="inlineStr">
        <is>
          <t>Stockholm, Sweden</t>
        </is>
      </c>
      <c r="AK129" s="45" t="inlineStr">
        <is>
          <t>Kaptensgatan 6</t>
        </is>
      </c>
      <c r="AL129" s="46" t="inlineStr">
        <is>
          <t/>
        </is>
      </c>
      <c r="AM129" s="47" t="inlineStr">
        <is>
          <t>Stockholm</t>
        </is>
      </c>
      <c r="AN129" s="48" t="inlineStr">
        <is>
          <t/>
        </is>
      </c>
      <c r="AO129" s="49" t="inlineStr">
        <is>
          <t>114 57</t>
        </is>
      </c>
      <c r="AP129" s="50" t="inlineStr">
        <is>
          <t>Sweden</t>
        </is>
      </c>
      <c r="AQ129" s="51" t="inlineStr">
        <is>
          <t>+46 (0)8 545 68 240</t>
        </is>
      </c>
      <c r="AR129" s="52" t="inlineStr">
        <is>
          <t/>
        </is>
      </c>
      <c r="AS129" s="53" t="inlineStr">
        <is>
          <t>info_se@barnebys.com</t>
        </is>
      </c>
      <c r="AT129" s="54" t="inlineStr">
        <is>
          <t>Europe</t>
        </is>
      </c>
      <c r="AU129" s="55" t="inlineStr">
        <is>
          <t>Northern Europe</t>
        </is>
      </c>
      <c r="AV129" s="56" t="inlineStr">
        <is>
          <t>The company raised $3.3 million of venture funding from Howzat Partners, Accum Kapital and Kichi Invest on April 19, 2017. Industrifonden also participated in the round. The company intends to use the funds to expand their operations in the US.</t>
        </is>
      </c>
      <c r="AW129" s="57" t="inlineStr">
        <is>
          <t>Accum Kapital, Active Venture Partners, Art and Culture, HOWZAT Partners, Inbox Capital, Industrifonden, Kichi Invest, Monkfish Equity, Richard Chen, STING Capital, Stockholm Innovation &amp; Growth</t>
        </is>
      </c>
      <c r="AX129" s="58" t="n">
        <v>11.0</v>
      </c>
      <c r="AY129" s="59" t="inlineStr">
        <is>
          <t/>
        </is>
      </c>
      <c r="AZ129" s="60" t="inlineStr">
        <is>
          <t/>
        </is>
      </c>
      <c r="BA129" s="61" t="inlineStr">
        <is>
          <t/>
        </is>
      </c>
      <c r="BB129" s="62" t="inlineStr">
        <is>
          <t>Accum Kapital (www.accumkapital.se), Active Venture Partners (www.active-vp.com), HOWZAT Partners (www.howzatpartners.com), Industrifonden (www.industrifonden.com), Kichi Invest (www.kichiinvest.se), Monkfish Equity (www.monkfish-equity.com), STING Capital (www.stingcapital.com), Stockholm Innovation &amp; Growth (www.sting.co)</t>
        </is>
      </c>
      <c r="BC129" s="63" t="inlineStr">
        <is>
          <t/>
        </is>
      </c>
      <c r="BD129" s="64" t="inlineStr">
        <is>
          <t/>
        </is>
      </c>
      <c r="BE129" s="65" t="inlineStr">
        <is>
          <t/>
        </is>
      </c>
      <c r="BF129" s="66" t="inlineStr">
        <is>
          <t/>
        </is>
      </c>
      <c r="BG129" s="67" t="n">
        <v>41078.0</v>
      </c>
      <c r="BH129" s="68" t="n">
        <v>1.04</v>
      </c>
      <c r="BI129" s="69" t="inlineStr">
        <is>
          <t>Actual</t>
        </is>
      </c>
      <c r="BJ129" s="70" t="inlineStr">
        <is>
          <t/>
        </is>
      </c>
      <c r="BK129" s="71" t="inlineStr">
        <is>
          <t/>
        </is>
      </c>
      <c r="BL129" s="72" t="inlineStr">
        <is>
          <t>Early Stage VC</t>
        </is>
      </c>
      <c r="BM129" s="73" t="inlineStr">
        <is>
          <t/>
        </is>
      </c>
      <c r="BN129" s="74" t="inlineStr">
        <is>
          <t/>
        </is>
      </c>
      <c r="BO129" s="75" t="inlineStr">
        <is>
          <t>Venture Capital</t>
        </is>
      </c>
      <c r="BP129" s="76" t="inlineStr">
        <is>
          <t/>
        </is>
      </c>
      <c r="BQ129" s="77" t="inlineStr">
        <is>
          <t/>
        </is>
      </c>
      <c r="BR129" s="78" t="inlineStr">
        <is>
          <t/>
        </is>
      </c>
      <c r="BS129" s="79" t="inlineStr">
        <is>
          <t>Completed</t>
        </is>
      </c>
      <c r="BT129" s="80" t="n">
        <v>42844.0</v>
      </c>
      <c r="BU129" s="81" t="n">
        <v>3.08</v>
      </c>
      <c r="BV129" s="82" t="inlineStr">
        <is>
          <t>Actual</t>
        </is>
      </c>
      <c r="BW129" s="83" t="inlineStr">
        <is>
          <t/>
        </is>
      </c>
      <c r="BX129" s="84" t="inlineStr">
        <is>
          <t/>
        </is>
      </c>
      <c r="BY129" s="85" t="inlineStr">
        <is>
          <t>Later Stage VC</t>
        </is>
      </c>
      <c r="BZ129" s="86" t="inlineStr">
        <is>
          <t/>
        </is>
      </c>
      <c r="CA129" s="87" t="inlineStr">
        <is>
          <t/>
        </is>
      </c>
      <c r="CB129" s="88" t="inlineStr">
        <is>
          <t>Venture Capital</t>
        </is>
      </c>
      <c r="CC129" s="89" t="inlineStr">
        <is>
          <t/>
        </is>
      </c>
      <c r="CD129" s="90" t="inlineStr">
        <is>
          <t/>
        </is>
      </c>
      <c r="CE129" s="91" t="inlineStr">
        <is>
          <t/>
        </is>
      </c>
      <c r="CF129" s="92" t="inlineStr">
        <is>
          <t>Completed</t>
        </is>
      </c>
      <c r="CG129" s="93" t="inlineStr">
        <is>
          <t>-1,31%</t>
        </is>
      </c>
      <c r="CH129" s="94" t="inlineStr">
        <is>
          <t>12</t>
        </is>
      </c>
      <c r="CI129" s="95" t="inlineStr">
        <is>
          <t>0,00%</t>
        </is>
      </c>
      <c r="CJ129" s="96" t="inlineStr">
        <is>
          <t>0,27%</t>
        </is>
      </c>
      <c r="CK129" s="97" t="inlineStr">
        <is>
          <t>-2,76%</t>
        </is>
      </c>
      <c r="CL129" s="98" t="inlineStr">
        <is>
          <t>12</t>
        </is>
      </c>
      <c r="CM129" s="99" t="inlineStr">
        <is>
          <t>0,15%</t>
        </is>
      </c>
      <c r="CN129" s="100" t="inlineStr">
        <is>
          <t>66</t>
        </is>
      </c>
      <c r="CO129" s="101" t="inlineStr">
        <is>
          <t>-5,62%</t>
        </is>
      </c>
      <c r="CP129" s="102" t="inlineStr">
        <is>
          <t>20</t>
        </is>
      </c>
      <c r="CQ129" s="103" t="inlineStr">
        <is>
          <t>0,10%</t>
        </is>
      </c>
      <c r="CR129" s="104" t="inlineStr">
        <is>
          <t>90</t>
        </is>
      </c>
      <c r="CS129" s="105" t="inlineStr">
        <is>
          <t>0,27%</t>
        </is>
      </c>
      <c r="CT129" s="106" t="inlineStr">
        <is>
          <t>76</t>
        </is>
      </c>
      <c r="CU129" s="107" t="inlineStr">
        <is>
          <t>0,02%</t>
        </is>
      </c>
      <c r="CV129" s="108" t="inlineStr">
        <is>
          <t>55</t>
        </is>
      </c>
      <c r="CW129" s="109" t="inlineStr">
        <is>
          <t>40,63x</t>
        </is>
      </c>
      <c r="CX129" s="110" t="inlineStr">
        <is>
          <t>96</t>
        </is>
      </c>
      <c r="CY129" s="111" t="inlineStr">
        <is>
          <t>-0,03x</t>
        </is>
      </c>
      <c r="CZ129" s="112" t="inlineStr">
        <is>
          <t>-0,08%</t>
        </is>
      </c>
      <c r="DA129" s="113" t="inlineStr">
        <is>
          <t>64,83x</t>
        </is>
      </c>
      <c r="DB129" s="114" t="inlineStr">
        <is>
          <t>98</t>
        </is>
      </c>
      <c r="DC129" s="115" t="inlineStr">
        <is>
          <t>16,43x</t>
        </is>
      </c>
      <c r="DD129" s="116" t="inlineStr">
        <is>
          <t>88</t>
        </is>
      </c>
      <c r="DE129" s="117" t="inlineStr">
        <is>
          <t>111,52x</t>
        </is>
      </c>
      <c r="DF129" s="118" t="inlineStr">
        <is>
          <t>98</t>
        </is>
      </c>
      <c r="DG129" s="119" t="inlineStr">
        <is>
          <t>18,14x</t>
        </is>
      </c>
      <c r="DH129" s="120" t="inlineStr">
        <is>
          <t>92</t>
        </is>
      </c>
      <c r="DI129" s="121" t="inlineStr">
        <is>
          <t>29,04x</t>
        </is>
      </c>
      <c r="DJ129" s="122" t="inlineStr">
        <is>
          <t>89</t>
        </is>
      </c>
      <c r="DK129" s="123" t="inlineStr">
        <is>
          <t>3,82x</t>
        </is>
      </c>
      <c r="DL129" s="124" t="inlineStr">
        <is>
          <t>75</t>
        </is>
      </c>
      <c r="DM129" s="125" t="inlineStr">
        <is>
          <t>41.204</t>
        </is>
      </c>
      <c r="DN129" s="126" t="inlineStr">
        <is>
          <t>843</t>
        </is>
      </c>
      <c r="DO129" s="127" t="inlineStr">
        <is>
          <t>2,09%</t>
        </is>
      </c>
      <c r="DP129" s="128" t="inlineStr">
        <is>
          <t>22.961</t>
        </is>
      </c>
      <c r="DQ129" s="129" t="inlineStr">
        <is>
          <t>81</t>
        </is>
      </c>
      <c r="DR129" s="130" t="inlineStr">
        <is>
          <t>0,35%</t>
        </is>
      </c>
      <c r="DS129" s="131" t="inlineStr">
        <is>
          <t>653</t>
        </is>
      </c>
      <c r="DT129" s="132" t="inlineStr">
        <is>
          <t>1</t>
        </is>
      </c>
      <c r="DU129" s="133" t="inlineStr">
        <is>
          <t>0,15%</t>
        </is>
      </c>
      <c r="DV129" s="134" t="inlineStr">
        <is>
          <t>1.426</t>
        </is>
      </c>
      <c r="DW129" s="135" t="inlineStr">
        <is>
          <t>2</t>
        </is>
      </c>
      <c r="DX129" s="136" t="inlineStr">
        <is>
          <t>0,14%</t>
        </is>
      </c>
      <c r="DY129" s="137" t="inlineStr">
        <is>
          <t>PitchBook Research</t>
        </is>
      </c>
      <c r="DZ129" s="785">
        <f>HYPERLINK("https://my.pitchbook.com?c=57080-62", "View company online")</f>
      </c>
    </row>
    <row r="130">
      <c r="A130" s="139" t="inlineStr">
        <is>
          <t>57385-45</t>
        </is>
      </c>
      <c r="B130" s="140" t="inlineStr">
        <is>
          <t>TourRadar</t>
        </is>
      </c>
      <c r="C130" s="141" t="inlineStr">
        <is>
          <t/>
        </is>
      </c>
      <c r="D130" s="142" t="inlineStr">
        <is>
          <t/>
        </is>
      </c>
      <c r="E130" s="143" t="inlineStr">
        <is>
          <t>57385-45</t>
        </is>
      </c>
      <c r="F130" s="144" t="inlineStr">
        <is>
          <t>Operator of a multi-day tour marketplace designed to digitize the touring industry. The company offers travelers an easy and trustworthy way of booking multi-day tours at the click of a button, providing travelers with an improved user experience across all devices via inspirational, highly personalized travel content.</t>
        </is>
      </c>
      <c r="G130" s="145" t="inlineStr">
        <is>
          <t>Consumer Products and Services (B2C)</t>
        </is>
      </c>
      <c r="H130" s="146" t="inlineStr">
        <is>
          <t>Media</t>
        </is>
      </c>
      <c r="I130" s="147" t="inlineStr">
        <is>
          <t>Information Services (B2C)</t>
        </is>
      </c>
      <c r="J130" s="148" t="inlineStr">
        <is>
          <t>Information Services (B2C)*; Social/Platform Software</t>
        </is>
      </c>
      <c r="K130" s="149" t="inlineStr">
        <is>
          <t>E-Commerce</t>
        </is>
      </c>
      <c r="L130" s="150" t="inlineStr">
        <is>
          <t>Venture Capital-Backed</t>
        </is>
      </c>
      <c r="M130" s="151" t="n">
        <v>11.43</v>
      </c>
      <c r="N130" s="152" t="inlineStr">
        <is>
          <t>Generating Revenue</t>
        </is>
      </c>
      <c r="O130" s="153" t="inlineStr">
        <is>
          <t>Privately Held (backing)</t>
        </is>
      </c>
      <c r="P130" s="154" t="inlineStr">
        <is>
          <t>Venture Capital</t>
        </is>
      </c>
      <c r="Q130" s="155" t="inlineStr">
        <is>
          <t>www.tourradar.com</t>
        </is>
      </c>
      <c r="R130" s="156" t="n">
        <v>40.0</v>
      </c>
      <c r="S130" s="157" t="inlineStr">
        <is>
          <t/>
        </is>
      </c>
      <c r="T130" s="158" t="inlineStr">
        <is>
          <t/>
        </is>
      </c>
      <c r="U130" s="159" t="n">
        <v>2010.0</v>
      </c>
      <c r="V130" s="160" t="inlineStr">
        <is>
          <t/>
        </is>
      </c>
      <c r="W130" s="161" t="inlineStr">
        <is>
          <t/>
        </is>
      </c>
      <c r="X130" s="162" t="inlineStr">
        <is>
          <t/>
        </is>
      </c>
      <c r="Y130" s="163" t="inlineStr">
        <is>
          <t/>
        </is>
      </c>
      <c r="Z130" s="164" t="inlineStr">
        <is>
          <t/>
        </is>
      </c>
      <c r="AA130" s="165" t="inlineStr">
        <is>
          <t/>
        </is>
      </c>
      <c r="AB130" s="166" t="inlineStr">
        <is>
          <t/>
        </is>
      </c>
      <c r="AC130" s="167" t="inlineStr">
        <is>
          <t/>
        </is>
      </c>
      <c r="AD130" s="168" t="inlineStr">
        <is>
          <t/>
        </is>
      </c>
      <c r="AE130" s="169" t="inlineStr">
        <is>
          <t>50339-80P</t>
        </is>
      </c>
      <c r="AF130" s="170" t="inlineStr">
        <is>
          <t>Travis Pittman</t>
        </is>
      </c>
      <c r="AG130" s="171" t="inlineStr">
        <is>
          <t>Chief Executive Officer &amp; Co-Founder</t>
        </is>
      </c>
      <c r="AH130" s="172" t="inlineStr">
        <is>
          <t>travis@tourradar.com</t>
        </is>
      </c>
      <c r="AI130" s="173" t="inlineStr">
        <is>
          <t>+43 (0)7 201 1665 1</t>
        </is>
      </c>
      <c r="AJ130" s="174" t="inlineStr">
        <is>
          <t>Vienna, Austria</t>
        </is>
      </c>
      <c r="AK130" s="175" t="inlineStr">
        <is>
          <t>Siebenbrunnengasse 17/4</t>
        </is>
      </c>
      <c r="AL130" s="176" t="inlineStr">
        <is>
          <t/>
        </is>
      </c>
      <c r="AM130" s="177" t="inlineStr">
        <is>
          <t>Vienna</t>
        </is>
      </c>
      <c r="AN130" s="178" t="inlineStr">
        <is>
          <t/>
        </is>
      </c>
      <c r="AO130" s="179" t="inlineStr">
        <is>
          <t>1050</t>
        </is>
      </c>
      <c r="AP130" s="180" t="inlineStr">
        <is>
          <t>Austria</t>
        </is>
      </c>
      <c r="AQ130" s="181" t="inlineStr">
        <is>
          <t>+43 (0)7 201 1665 1</t>
        </is>
      </c>
      <c r="AR130" s="182" t="inlineStr">
        <is>
          <t/>
        </is>
      </c>
      <c r="AS130" s="183" t="inlineStr">
        <is>
          <t>info@tourradar.com</t>
        </is>
      </c>
      <c r="AT130" s="184" t="inlineStr">
        <is>
          <t>Europe</t>
        </is>
      </c>
      <c r="AU130" s="185" t="inlineStr">
        <is>
          <t>Western Europe</t>
        </is>
      </c>
      <c r="AV130" s="186" t="inlineStr">
        <is>
          <t>The company raised $10 million of Series B venture funding in a deal led by Endeit Capital on October 24, 2017. Cherry Ventures Management and Hoxton Ventures also participated in the round. The funds will be used to double the company's headcount, mainly in its tech and product department across all offices in Vienna, Brisbane and Toronto to increase performance marketing channels along with building up their brand awareness through video and content partnerships.</t>
        </is>
      </c>
      <c r="AW130" s="187" t="inlineStr">
        <is>
          <t>3TS Capital Partners, AC &amp; Friends, aws Gründerfonds, Cherry Ventures Management, Endeit Capital, Erik Blachford, Hoxton Ventures, i5invest, Mobile Monkeys, Oliver Holle, Speedinvest</t>
        </is>
      </c>
      <c r="AX130" s="188" t="n">
        <v>11.0</v>
      </c>
      <c r="AY130" s="189" t="inlineStr">
        <is>
          <t/>
        </is>
      </c>
      <c r="AZ130" s="190" t="inlineStr">
        <is>
          <t/>
        </is>
      </c>
      <c r="BA130" s="191" t="inlineStr">
        <is>
          <t/>
        </is>
      </c>
      <c r="BB130" s="192" t="inlineStr">
        <is>
          <t>3TS Capital Partners (www.3tscapital.com), aws Gründerfonds (www.gruenderfonds.at), Cherry Ventures Management (cherry.vc), Endeit Capital (www.endeit.com), Hoxton Ventures (www.hoxtonventures.com), i5invest (www.i5invest.com), Speedinvest (www.speedinvest.com)</t>
        </is>
      </c>
      <c r="BC130" s="193" t="inlineStr">
        <is>
          <t/>
        </is>
      </c>
      <c r="BD130" s="194" t="inlineStr">
        <is>
          <t/>
        </is>
      </c>
      <c r="BE130" s="195" t="inlineStr">
        <is>
          <t/>
        </is>
      </c>
      <c r="BF130" s="196" t="inlineStr">
        <is>
          <t/>
        </is>
      </c>
      <c r="BG130" s="197" t="n">
        <v>41435.0</v>
      </c>
      <c r="BH130" s="198" t="inlineStr">
        <is>
          <t/>
        </is>
      </c>
      <c r="BI130" s="199" t="inlineStr">
        <is>
          <t/>
        </is>
      </c>
      <c r="BJ130" s="200" t="inlineStr">
        <is>
          <t/>
        </is>
      </c>
      <c r="BK130" s="201" t="inlineStr">
        <is>
          <t/>
        </is>
      </c>
      <c r="BL130" s="202" t="inlineStr">
        <is>
          <t>Angel (individual)</t>
        </is>
      </c>
      <c r="BM130" s="203" t="inlineStr">
        <is>
          <t>Angel</t>
        </is>
      </c>
      <c r="BN130" s="204" t="inlineStr">
        <is>
          <t/>
        </is>
      </c>
      <c r="BO130" s="205" t="inlineStr">
        <is>
          <t>Individual</t>
        </is>
      </c>
      <c r="BP130" s="206" t="inlineStr">
        <is>
          <t/>
        </is>
      </c>
      <c r="BQ130" s="207" t="inlineStr">
        <is>
          <t/>
        </is>
      </c>
      <c r="BR130" s="208" t="inlineStr">
        <is>
          <t/>
        </is>
      </c>
      <c r="BS130" s="209" t="inlineStr">
        <is>
          <t>Completed</t>
        </is>
      </c>
      <c r="BT130" s="210" t="n">
        <v>43032.0</v>
      </c>
      <c r="BU130" s="211" t="n">
        <v>8.5</v>
      </c>
      <c r="BV130" s="212" t="inlineStr">
        <is>
          <t>Actual</t>
        </is>
      </c>
      <c r="BW130" s="213" t="inlineStr">
        <is>
          <t/>
        </is>
      </c>
      <c r="BX130" s="214" t="inlineStr">
        <is>
          <t/>
        </is>
      </c>
      <c r="BY130" s="215" t="inlineStr">
        <is>
          <t>Later Stage VC</t>
        </is>
      </c>
      <c r="BZ130" s="216" t="inlineStr">
        <is>
          <t>Series B</t>
        </is>
      </c>
      <c r="CA130" s="217" t="inlineStr">
        <is>
          <t/>
        </is>
      </c>
      <c r="CB130" s="218" t="inlineStr">
        <is>
          <t>Venture Capital</t>
        </is>
      </c>
      <c r="CC130" s="219" t="inlineStr">
        <is>
          <t/>
        </is>
      </c>
      <c r="CD130" s="220" t="inlineStr">
        <is>
          <t/>
        </is>
      </c>
      <c r="CE130" s="221" t="inlineStr">
        <is>
          <t/>
        </is>
      </c>
      <c r="CF130" s="222" t="inlineStr">
        <is>
          <t>Completed</t>
        </is>
      </c>
      <c r="CG130" s="223" t="inlineStr">
        <is>
          <t>-2,56%</t>
        </is>
      </c>
      <c r="CH130" s="224" t="inlineStr">
        <is>
          <t>8</t>
        </is>
      </c>
      <c r="CI130" s="225" t="inlineStr">
        <is>
          <t>-0,07%</t>
        </is>
      </c>
      <c r="CJ130" s="226" t="inlineStr">
        <is>
          <t>-2,72%</t>
        </is>
      </c>
      <c r="CK130" s="227" t="inlineStr">
        <is>
          <t>-5,19%</t>
        </is>
      </c>
      <c r="CL130" s="228" t="inlineStr">
        <is>
          <t>7</t>
        </is>
      </c>
      <c r="CM130" s="229" t="inlineStr">
        <is>
          <t>0,06%</t>
        </is>
      </c>
      <c r="CN130" s="230" t="inlineStr">
        <is>
          <t>51</t>
        </is>
      </c>
      <c r="CO130" s="231" t="inlineStr">
        <is>
          <t>-11,48%</t>
        </is>
      </c>
      <c r="CP130" s="232" t="inlineStr">
        <is>
          <t>11</t>
        </is>
      </c>
      <c r="CQ130" s="233" t="inlineStr">
        <is>
          <t>1,11%</t>
        </is>
      </c>
      <c r="CR130" s="234" t="inlineStr">
        <is>
          <t>94</t>
        </is>
      </c>
      <c r="CS130" s="235" t="inlineStr">
        <is>
          <t>0,02%</t>
        </is>
      </c>
      <c r="CT130" s="236" t="inlineStr">
        <is>
          <t>43</t>
        </is>
      </c>
      <c r="CU130" s="237" t="inlineStr">
        <is>
          <t>0,10%</t>
        </is>
      </c>
      <c r="CV130" s="238" t="inlineStr">
        <is>
          <t>66</t>
        </is>
      </c>
      <c r="CW130" s="239" t="inlineStr">
        <is>
          <t>282,13x</t>
        </is>
      </c>
      <c r="CX130" s="240" t="inlineStr">
        <is>
          <t>100</t>
        </is>
      </c>
      <c r="CY130" s="241" t="inlineStr">
        <is>
          <t>-1,78x</t>
        </is>
      </c>
      <c r="CZ130" s="242" t="inlineStr">
        <is>
          <t>-0,63%</t>
        </is>
      </c>
      <c r="DA130" s="243" t="inlineStr">
        <is>
          <t>120,43x</t>
        </is>
      </c>
      <c r="DB130" s="244" t="inlineStr">
        <is>
          <t>99</t>
        </is>
      </c>
      <c r="DC130" s="245" t="inlineStr">
        <is>
          <t>443,83x</t>
        </is>
      </c>
      <c r="DD130" s="246" t="inlineStr">
        <is>
          <t>99</t>
        </is>
      </c>
      <c r="DE130" s="247" t="inlineStr">
        <is>
          <t>187,55x</t>
        </is>
      </c>
      <c r="DF130" s="248" t="inlineStr">
        <is>
          <t>99</t>
        </is>
      </c>
      <c r="DG130" s="249" t="inlineStr">
        <is>
          <t>53,31x</t>
        </is>
      </c>
      <c r="DH130" s="250" t="inlineStr">
        <is>
          <t>98</t>
        </is>
      </c>
      <c r="DI130" s="251" t="inlineStr">
        <is>
          <t>681,09x</t>
        </is>
      </c>
      <c r="DJ130" s="252" t="inlineStr">
        <is>
          <t>99</t>
        </is>
      </c>
      <c r="DK130" s="253" t="inlineStr">
        <is>
          <t>206,58x</t>
        </is>
      </c>
      <c r="DL130" s="254" t="inlineStr">
        <is>
          <t>99</t>
        </is>
      </c>
      <c r="DM130" s="255" t="inlineStr">
        <is>
          <t>69.372</t>
        </is>
      </c>
      <c r="DN130" s="256" t="inlineStr">
        <is>
          <t>1.049</t>
        </is>
      </c>
      <c r="DO130" s="257" t="inlineStr">
        <is>
          <t>1,54%</t>
        </is>
      </c>
      <c r="DP130" s="258" t="inlineStr">
        <is>
          <t>539.375</t>
        </is>
      </c>
      <c r="DQ130" s="259" t="inlineStr">
        <is>
          <t>99</t>
        </is>
      </c>
      <c r="DR130" s="260" t="inlineStr">
        <is>
          <t>0,02%</t>
        </is>
      </c>
      <c r="DS130" s="261" t="inlineStr">
        <is>
          <t>1.910</t>
        </is>
      </c>
      <c r="DT130" s="262" t="inlineStr">
        <is>
          <t>19</t>
        </is>
      </c>
      <c r="DU130" s="263" t="inlineStr">
        <is>
          <t>1,00%</t>
        </is>
      </c>
      <c r="DV130" s="264" t="inlineStr">
        <is>
          <t>77.303</t>
        </is>
      </c>
      <c r="DW130" s="265" t="inlineStr">
        <is>
          <t>-130</t>
        </is>
      </c>
      <c r="DX130" s="266" t="inlineStr">
        <is>
          <t>-0,17%</t>
        </is>
      </c>
      <c r="DY130" s="267" t="inlineStr">
        <is>
          <t>PitchBook Research</t>
        </is>
      </c>
      <c r="DZ130" s="786">
        <f>HYPERLINK("https://my.pitchbook.com?c=57385-45", "View company online")</f>
      </c>
    </row>
    <row r="131">
      <c r="A131" s="9" t="inlineStr">
        <is>
          <t>60238-81</t>
        </is>
      </c>
      <c r="B131" s="10" t="inlineStr">
        <is>
          <t>WISE</t>
        </is>
      </c>
      <c r="C131" s="11" t="inlineStr">
        <is>
          <t/>
        </is>
      </c>
      <c r="D131" s="12" t="inlineStr">
        <is>
          <t>Wiringless Implantable Stretchable Electronics, Wise Neuro</t>
        </is>
      </c>
      <c r="E131" s="13" t="inlineStr">
        <is>
          <t>60238-81</t>
        </is>
      </c>
      <c r="F131" s="14" t="inlineStr">
        <is>
          <t>Developer of stretchable electrodes intended to use in neuro-modulation therapy. The company's stretchable electrodes are electrodes and leads that can be surgically implanted to apply electrical stimuli to neural tissues, it basically consist of of electronic circuits which are very thin elastomeric foils, preventing dislocation, breakage or damage.</t>
        </is>
      </c>
      <c r="G131" s="15" t="inlineStr">
        <is>
          <t>Healthcare</t>
        </is>
      </c>
      <c r="H131" s="16" t="inlineStr">
        <is>
          <t>Healthcare Devices and Supplies</t>
        </is>
      </c>
      <c r="I131" s="17" t="inlineStr">
        <is>
          <t>Diagnostic Equipment</t>
        </is>
      </c>
      <c r="J131" s="18" t="inlineStr">
        <is>
          <t>Diagnostic Equipment*; Biotechnology</t>
        </is>
      </c>
      <c r="K131" s="19" t="inlineStr">
        <is>
          <t>Life Sciences, Manufacturing, Nanotechnology</t>
        </is>
      </c>
      <c r="L131" s="20" t="inlineStr">
        <is>
          <t>Venture Capital-Backed</t>
        </is>
      </c>
      <c r="M131" s="21" t="n">
        <v>11.36</v>
      </c>
      <c r="N131" s="22" t="inlineStr">
        <is>
          <t>Pre-Clinical Trials</t>
        </is>
      </c>
      <c r="O131" s="23" t="inlineStr">
        <is>
          <t>Privately Held (backing)</t>
        </is>
      </c>
      <c r="P131" s="24" t="inlineStr">
        <is>
          <t>Venture Capital</t>
        </is>
      </c>
      <c r="Q131" s="25" t="inlineStr">
        <is>
          <t>www.wiseneuro.com</t>
        </is>
      </c>
      <c r="R131" s="26" t="n">
        <v>8.0</v>
      </c>
      <c r="S131" s="27" t="inlineStr">
        <is>
          <t/>
        </is>
      </c>
      <c r="T131" s="28" t="inlineStr">
        <is>
          <t/>
        </is>
      </c>
      <c r="U131" s="29" t="n">
        <v>2011.0</v>
      </c>
      <c r="V131" s="30" t="inlineStr">
        <is>
          <t/>
        </is>
      </c>
      <c r="W131" s="31" t="inlineStr">
        <is>
          <t/>
        </is>
      </c>
      <c r="X131" s="32" t="inlineStr">
        <is>
          <t/>
        </is>
      </c>
      <c r="Y131" s="33" t="inlineStr">
        <is>
          <t/>
        </is>
      </c>
      <c r="Z131" s="34" t="inlineStr">
        <is>
          <t/>
        </is>
      </c>
      <c r="AA131" s="35" t="inlineStr">
        <is>
          <t/>
        </is>
      </c>
      <c r="AB131" s="36" t="inlineStr">
        <is>
          <t/>
        </is>
      </c>
      <c r="AC131" s="37" t="inlineStr">
        <is>
          <t/>
        </is>
      </c>
      <c r="AD131" s="38" t="inlineStr">
        <is>
          <t/>
        </is>
      </c>
      <c r="AE131" s="39" t="inlineStr">
        <is>
          <t>56202-31P</t>
        </is>
      </c>
      <c r="AF131" s="40" t="inlineStr">
        <is>
          <t>Luca Ravagnan</t>
        </is>
      </c>
      <c r="AG131" s="41" t="inlineStr">
        <is>
          <t>Chief Executive Officer, Board Member &amp; Co-founder</t>
        </is>
      </c>
      <c r="AH131" s="42" t="inlineStr">
        <is>
          <t>luca.ravagnan@wiseneuro.com</t>
        </is>
      </c>
      <c r="AI131" s="43" t="inlineStr">
        <is>
          <t>+39 02 5666 0143</t>
        </is>
      </c>
      <c r="AJ131" s="44" t="inlineStr">
        <is>
          <t>Milan, Italy</t>
        </is>
      </c>
      <c r="AK131" s="45" t="inlineStr">
        <is>
          <t>Piazza Duse, 2</t>
        </is>
      </c>
      <c r="AL131" s="46" t="inlineStr">
        <is>
          <t>Cologno Monzese</t>
        </is>
      </c>
      <c r="AM131" s="47" t="inlineStr">
        <is>
          <t>Milan</t>
        </is>
      </c>
      <c r="AN131" s="48" t="inlineStr">
        <is>
          <t/>
        </is>
      </c>
      <c r="AO131" s="49" t="inlineStr">
        <is>
          <t>20122</t>
        </is>
      </c>
      <c r="AP131" s="50" t="inlineStr">
        <is>
          <t>Italy</t>
        </is>
      </c>
      <c r="AQ131" s="51" t="inlineStr">
        <is>
          <t>+39 02 8496 2910</t>
        </is>
      </c>
      <c r="AR131" s="52" t="inlineStr">
        <is>
          <t>+39 02 7607 9745</t>
        </is>
      </c>
      <c r="AS131" s="53" t="inlineStr">
        <is>
          <t>info@wiseneuro.com</t>
        </is>
      </c>
      <c r="AT131" s="54" t="inlineStr">
        <is>
          <t>Europe</t>
        </is>
      </c>
      <c r="AU131" s="55" t="inlineStr">
        <is>
          <t>Southern Europe</t>
        </is>
      </c>
      <c r="AV131" s="56" t="inlineStr">
        <is>
          <t>The company raised EUR 6.5 million of Series B venture funding in a deal led by Principia SGR on May 25, 2017. High-Tech Gründerfonds, Antares, Atlante Seed and F3F also participated in the round. The company intends to use the funds to market their first product for acute use, Cortical Electrodes for intraoperative monitoring and to conclude the development of their product, the first percutaneously-implantable paddle lead for Spinal Cord Stimulation (SCS).</t>
        </is>
      </c>
      <c r="AW131" s="57" t="inlineStr">
        <is>
          <t>Agite, Amigdala, Antares (Italy), Atlante Seed, Atlante Ventures, btov Partners, F3F, High-Tech Gründerfonds, Principia SGR, Veneto Nanotech</t>
        </is>
      </c>
      <c r="AX131" s="58" t="n">
        <v>10.0</v>
      </c>
      <c r="AY131" s="59" t="inlineStr">
        <is>
          <t/>
        </is>
      </c>
      <c r="AZ131" s="60" t="inlineStr">
        <is>
          <t/>
        </is>
      </c>
      <c r="BA131" s="61" t="inlineStr">
        <is>
          <t/>
        </is>
      </c>
      <c r="BB131" s="62" t="inlineStr">
        <is>
          <t>Atlante Ventures (www.imiinvestimenti.it), btov Partners (www.btov.vc), High-Tech Gründerfonds (www.high-tech-gruenderfonds.de), Principia SGR (www.principiasgr.it)</t>
        </is>
      </c>
      <c r="BC131" s="63" t="inlineStr">
        <is>
          <t/>
        </is>
      </c>
      <c r="BD131" s="64" t="inlineStr">
        <is>
          <t/>
        </is>
      </c>
      <c r="BE131" s="65" t="inlineStr">
        <is>
          <t/>
        </is>
      </c>
      <c r="BF131" s="66" t="inlineStr">
        <is>
          <t/>
        </is>
      </c>
      <c r="BG131" s="67" t="n">
        <v>40583.0</v>
      </c>
      <c r="BH131" s="68" t="inlineStr">
        <is>
          <t/>
        </is>
      </c>
      <c r="BI131" s="69" t="inlineStr">
        <is>
          <t/>
        </is>
      </c>
      <c r="BJ131" s="70" t="inlineStr">
        <is>
          <t/>
        </is>
      </c>
      <c r="BK131" s="71" t="inlineStr">
        <is>
          <t/>
        </is>
      </c>
      <c r="BL131" s="72" t="inlineStr">
        <is>
          <t>Angel (individual)</t>
        </is>
      </c>
      <c r="BM131" s="73" t="inlineStr">
        <is>
          <t>Angel</t>
        </is>
      </c>
      <c r="BN131" s="74" t="inlineStr">
        <is>
          <t/>
        </is>
      </c>
      <c r="BO131" s="75" t="inlineStr">
        <is>
          <t>Individual</t>
        </is>
      </c>
      <c r="BP131" s="76" t="inlineStr">
        <is>
          <t/>
        </is>
      </c>
      <c r="BQ131" s="77" t="inlineStr">
        <is>
          <t/>
        </is>
      </c>
      <c r="BR131" s="78" t="inlineStr">
        <is>
          <t/>
        </is>
      </c>
      <c r="BS131" s="79" t="inlineStr">
        <is>
          <t>Completed</t>
        </is>
      </c>
      <c r="BT131" s="80" t="n">
        <v>42880.0</v>
      </c>
      <c r="BU131" s="81" t="n">
        <v>6.5</v>
      </c>
      <c r="BV131" s="82" t="inlineStr">
        <is>
          <t>Actual</t>
        </is>
      </c>
      <c r="BW131" s="83" t="inlineStr">
        <is>
          <t/>
        </is>
      </c>
      <c r="BX131" s="84" t="inlineStr">
        <is>
          <t/>
        </is>
      </c>
      <c r="BY131" s="85" t="inlineStr">
        <is>
          <t>Later Stage VC</t>
        </is>
      </c>
      <c r="BZ131" s="86" t="inlineStr">
        <is>
          <t>Series B</t>
        </is>
      </c>
      <c r="CA131" s="87" t="inlineStr">
        <is>
          <t/>
        </is>
      </c>
      <c r="CB131" s="88" t="inlineStr">
        <is>
          <t>Venture Capital</t>
        </is>
      </c>
      <c r="CC131" s="89" t="inlineStr">
        <is>
          <t/>
        </is>
      </c>
      <c r="CD131" s="90" t="inlineStr">
        <is>
          <t/>
        </is>
      </c>
      <c r="CE131" s="91" t="inlineStr">
        <is>
          <t/>
        </is>
      </c>
      <c r="CF131" s="92" t="inlineStr">
        <is>
          <t>Completed</t>
        </is>
      </c>
      <c r="CG131" s="93" t="inlineStr">
        <is>
          <t>-0,51%</t>
        </is>
      </c>
      <c r="CH131" s="94" t="inlineStr">
        <is>
          <t>18</t>
        </is>
      </c>
      <c r="CI131" s="95" t="inlineStr">
        <is>
          <t>0,00%</t>
        </is>
      </c>
      <c r="CJ131" s="96" t="inlineStr">
        <is>
          <t>-0,90%</t>
        </is>
      </c>
      <c r="CK131" s="97" t="inlineStr">
        <is>
          <t>-0,93%</t>
        </is>
      </c>
      <c r="CL131" s="98" t="inlineStr">
        <is>
          <t>20</t>
        </is>
      </c>
      <c r="CM131" s="99" t="inlineStr">
        <is>
          <t>-0,08%</t>
        </is>
      </c>
      <c r="CN131" s="100" t="inlineStr">
        <is>
          <t>6</t>
        </is>
      </c>
      <c r="CO131" s="101" t="inlineStr">
        <is>
          <t>0,00%</t>
        </is>
      </c>
      <c r="CP131" s="102" t="inlineStr">
        <is>
          <t>37</t>
        </is>
      </c>
      <c r="CQ131" s="103" t="inlineStr">
        <is>
          <t>-1,86%</t>
        </is>
      </c>
      <c r="CR131" s="104" t="inlineStr">
        <is>
          <t>3</t>
        </is>
      </c>
      <c r="CS131" s="105" t="inlineStr">
        <is>
          <t>-0,17%</t>
        </is>
      </c>
      <c r="CT131" s="106" t="inlineStr">
        <is>
          <t>1</t>
        </is>
      </c>
      <c r="CU131" s="107" t="inlineStr">
        <is>
          <t>0,00%</t>
        </is>
      </c>
      <c r="CV131" s="108" t="inlineStr">
        <is>
          <t>21</t>
        </is>
      </c>
      <c r="CW131" s="109" t="inlineStr">
        <is>
          <t>0,89x</t>
        </is>
      </c>
      <c r="CX131" s="110" t="inlineStr">
        <is>
          <t>46</t>
        </is>
      </c>
      <c r="CY131" s="111" t="inlineStr">
        <is>
          <t>-0,01x</t>
        </is>
      </c>
      <c r="CZ131" s="112" t="inlineStr">
        <is>
          <t>-1,63%</t>
        </is>
      </c>
      <c r="DA131" s="113" t="inlineStr">
        <is>
          <t>1,66x</t>
        </is>
      </c>
      <c r="DB131" s="114" t="inlineStr">
        <is>
          <t>63</t>
        </is>
      </c>
      <c r="DC131" s="115" t="inlineStr">
        <is>
          <t>0,11x</t>
        </is>
      </c>
      <c r="DD131" s="116" t="inlineStr">
        <is>
          <t>14</t>
        </is>
      </c>
      <c r="DE131" s="117" t="inlineStr">
        <is>
          <t>0,44x</t>
        </is>
      </c>
      <c r="DF131" s="118" t="inlineStr">
        <is>
          <t>30</t>
        </is>
      </c>
      <c r="DG131" s="119" t="inlineStr">
        <is>
          <t>2,89x</t>
        </is>
      </c>
      <c r="DH131" s="120" t="inlineStr">
        <is>
          <t>71</t>
        </is>
      </c>
      <c r="DI131" s="121" t="inlineStr">
        <is>
          <t>0,19x</t>
        </is>
      </c>
      <c r="DJ131" s="122" t="inlineStr">
        <is>
          <t>23</t>
        </is>
      </c>
      <c r="DK131" s="123" t="inlineStr">
        <is>
          <t>0,03x</t>
        </is>
      </c>
      <c r="DL131" s="124" t="inlineStr">
        <is>
          <t>7</t>
        </is>
      </c>
      <c r="DM131" s="125" t="inlineStr">
        <is>
          <t>161</t>
        </is>
      </c>
      <c r="DN131" s="126" t="inlineStr">
        <is>
          <t>5</t>
        </is>
      </c>
      <c r="DO131" s="127" t="inlineStr">
        <is>
          <t>3,21%</t>
        </is>
      </c>
      <c r="DP131" s="128" t="inlineStr">
        <is>
          <t>147</t>
        </is>
      </c>
      <c r="DQ131" s="129" t="inlineStr">
        <is>
          <t>-1</t>
        </is>
      </c>
      <c r="DR131" s="130" t="inlineStr">
        <is>
          <t>-0,68%</t>
        </is>
      </c>
      <c r="DS131" s="131" t="inlineStr">
        <is>
          <t>105</t>
        </is>
      </c>
      <c r="DT131" s="132" t="inlineStr">
        <is>
          <t>-2</t>
        </is>
      </c>
      <c r="DU131" s="133" t="inlineStr">
        <is>
          <t>-1,87%</t>
        </is>
      </c>
      <c r="DV131" s="134" t="inlineStr">
        <is>
          <t>10</t>
        </is>
      </c>
      <c r="DW131" s="135" t="inlineStr">
        <is>
          <t>0</t>
        </is>
      </c>
      <c r="DX131" s="136" t="inlineStr">
        <is>
          <t>0,00%</t>
        </is>
      </c>
      <c r="DY131" s="137" t="inlineStr">
        <is>
          <t>PitchBook Research</t>
        </is>
      </c>
      <c r="DZ131" s="785">
        <f>HYPERLINK("https://my.pitchbook.com?c=60238-81", "View company online")</f>
      </c>
    </row>
    <row r="132">
      <c r="A132" s="139" t="inlineStr">
        <is>
          <t>56249-38</t>
        </is>
      </c>
      <c r="B132" s="140" t="inlineStr">
        <is>
          <t>CloudFactory</t>
        </is>
      </c>
      <c r="C132" s="141" t="inlineStr">
        <is>
          <t/>
        </is>
      </c>
      <c r="D132" s="142" t="inlineStr">
        <is>
          <t/>
        </is>
      </c>
      <c r="E132" s="143" t="inlineStr">
        <is>
          <t>56249-38</t>
        </is>
      </c>
      <c r="F132" s="144" t="inlineStr">
        <is>
          <t>Provider of an on-demand digital workforce created to scale business in the cloud network. The company's on-demand digital workforce offers a base for data enrichment, data validation, image and video tagging, sentiment analysis, data categorization and machine learning enabling business to assemble teams, train them up and manage the day-to-day to help focus on innovation and growth.</t>
        </is>
      </c>
      <c r="G132" s="145" t="inlineStr">
        <is>
          <t>Information Technology</t>
        </is>
      </c>
      <c r="H132" s="146" t="inlineStr">
        <is>
          <t>IT Services</t>
        </is>
      </c>
      <c r="I132" s="147" t="inlineStr">
        <is>
          <t>Systems and Information Management</t>
        </is>
      </c>
      <c r="J132" s="148" t="inlineStr">
        <is>
          <t>Systems and Information Management*; Social/Platform Software</t>
        </is>
      </c>
      <c r="K132" s="149" t="inlineStr">
        <is>
          <t>Artificial Intelligence &amp; Machine Learning, Big Data</t>
        </is>
      </c>
      <c r="L132" s="150" t="inlineStr">
        <is>
          <t>Venture Capital-Backed</t>
        </is>
      </c>
      <c r="M132" s="151" t="n">
        <v>11.28</v>
      </c>
      <c r="N132" s="152" t="inlineStr">
        <is>
          <t>Profitable</t>
        </is>
      </c>
      <c r="O132" s="153" t="inlineStr">
        <is>
          <t>Privately Held (backing)</t>
        </is>
      </c>
      <c r="P132" s="154" t="inlineStr">
        <is>
          <t>Venture Capital</t>
        </is>
      </c>
      <c r="Q132" s="155" t="inlineStr">
        <is>
          <t>www.cloudfactory.com</t>
        </is>
      </c>
      <c r="R132" s="156" t="n">
        <v>200.0</v>
      </c>
      <c r="S132" s="157" t="inlineStr">
        <is>
          <t/>
        </is>
      </c>
      <c r="T132" s="158" t="inlineStr">
        <is>
          <t/>
        </is>
      </c>
      <c r="U132" s="159" t="n">
        <v>2008.0</v>
      </c>
      <c r="V132" s="160" t="inlineStr">
        <is>
          <t/>
        </is>
      </c>
      <c r="W132" s="161" t="inlineStr">
        <is>
          <t/>
        </is>
      </c>
      <c r="X132" s="162" t="inlineStr">
        <is>
          <t/>
        </is>
      </c>
      <c r="Y132" s="163" t="inlineStr">
        <is>
          <t/>
        </is>
      </c>
      <c r="Z132" s="164" t="inlineStr">
        <is>
          <t/>
        </is>
      </c>
      <c r="AA132" s="165" t="inlineStr">
        <is>
          <t/>
        </is>
      </c>
      <c r="AB132" s="166" t="inlineStr">
        <is>
          <t/>
        </is>
      </c>
      <c r="AC132" s="167" t="inlineStr">
        <is>
          <t/>
        </is>
      </c>
      <c r="AD132" s="168" t="inlineStr">
        <is>
          <t/>
        </is>
      </c>
      <c r="AE132" s="169" t="inlineStr">
        <is>
          <t>47561-05P</t>
        </is>
      </c>
      <c r="AF132" s="170" t="inlineStr">
        <is>
          <t>Mark Sears</t>
        </is>
      </c>
      <c r="AG132" s="171" t="inlineStr">
        <is>
          <t>Chief Executive Officer, Founder &amp; Board Member</t>
        </is>
      </c>
      <c r="AH132" s="172" t="inlineStr">
        <is>
          <t>mark@cloudfactory.com</t>
        </is>
      </c>
      <c r="AI132" s="173" t="inlineStr">
        <is>
          <t>+1 (888) 809-0229</t>
        </is>
      </c>
      <c r="AJ132" s="174" t="inlineStr">
        <is>
          <t>Reading, United Kingdom</t>
        </is>
      </c>
      <c r="AK132" s="175" t="inlineStr">
        <is>
          <t>The White Building (Work.Life)</t>
        </is>
      </c>
      <c r="AL132" s="176" t="inlineStr">
        <is>
          <t>33 King's Road</t>
        </is>
      </c>
      <c r="AM132" s="177" t="inlineStr">
        <is>
          <t>Reading</t>
        </is>
      </c>
      <c r="AN132" s="178" t="inlineStr">
        <is>
          <t>England</t>
        </is>
      </c>
      <c r="AO132" s="179" t="inlineStr">
        <is>
          <t>RG1 3AR</t>
        </is>
      </c>
      <c r="AP132" s="180" t="inlineStr">
        <is>
          <t>United Kingdom</t>
        </is>
      </c>
      <c r="AQ132" s="181" t="inlineStr">
        <is>
          <t/>
        </is>
      </c>
      <c r="AR132" s="182" t="inlineStr">
        <is>
          <t/>
        </is>
      </c>
      <c r="AS132" s="183" t="inlineStr">
        <is>
          <t>hello@cloudfactory.com</t>
        </is>
      </c>
      <c r="AT132" s="184" t="inlineStr">
        <is>
          <t>Europe</t>
        </is>
      </c>
      <c r="AU132" s="185" t="inlineStr">
        <is>
          <t>Western Europe</t>
        </is>
      </c>
      <c r="AV132" s="186" t="inlineStr">
        <is>
          <t>The company raised $7.3 million of Series B venture funding from Dolma Foundation and The Social Entrepreneurs Fund on May 24, 2017. The funds will be used to hire for a variety of strategic positions, and invest further into R&amp;D and growth.</t>
        </is>
      </c>
      <c r="AW132" s="187" t="inlineStr">
        <is>
          <t>Brent Burgess, David Clouse, Dolma Foundation, Individual Investor, Rockefeller Foundation, Sovereign's Capital, The Social Entrepreneurs Fund</t>
        </is>
      </c>
      <c r="AX132" s="188" t="n">
        <v>7.0</v>
      </c>
      <c r="AY132" s="189" t="inlineStr">
        <is>
          <t/>
        </is>
      </c>
      <c r="AZ132" s="190" t="inlineStr">
        <is>
          <t/>
        </is>
      </c>
      <c r="BA132" s="191" t="inlineStr">
        <is>
          <t/>
        </is>
      </c>
      <c r="BB132" s="192" t="inlineStr">
        <is>
          <t>Dolma Foundation (www.dolmafoundation.org), Rockefeller Foundation (www.rockefellerfoundation.org), Sovereign's Capital (www.sovereignscapital.com), The Social Entrepreneurs Fund (www.tsef.net)</t>
        </is>
      </c>
      <c r="BC132" s="193" t="inlineStr">
        <is>
          <t/>
        </is>
      </c>
      <c r="BD132" s="194" t="inlineStr">
        <is>
          <t/>
        </is>
      </c>
      <c r="BE132" s="195" t="inlineStr">
        <is>
          <t/>
        </is>
      </c>
      <c r="BF132" s="196" t="inlineStr">
        <is>
          <t/>
        </is>
      </c>
      <c r="BG132" s="197" t="n">
        <v>40909.0</v>
      </c>
      <c r="BH132" s="198" t="n">
        <v>0.54</v>
      </c>
      <c r="BI132" s="199" t="inlineStr">
        <is>
          <t>Actual</t>
        </is>
      </c>
      <c r="BJ132" s="200" t="inlineStr">
        <is>
          <t/>
        </is>
      </c>
      <c r="BK132" s="201" t="inlineStr">
        <is>
          <t/>
        </is>
      </c>
      <c r="BL132" s="202" t="inlineStr">
        <is>
          <t>Seed Round</t>
        </is>
      </c>
      <c r="BM132" s="203" t="inlineStr">
        <is>
          <t>Seed</t>
        </is>
      </c>
      <c r="BN132" s="204" t="inlineStr">
        <is>
          <t/>
        </is>
      </c>
      <c r="BO132" s="205" t="inlineStr">
        <is>
          <t>Venture Capital</t>
        </is>
      </c>
      <c r="BP132" s="206" t="inlineStr">
        <is>
          <t/>
        </is>
      </c>
      <c r="BQ132" s="207" t="inlineStr">
        <is>
          <t/>
        </is>
      </c>
      <c r="BR132" s="208" t="inlineStr">
        <is>
          <t/>
        </is>
      </c>
      <c r="BS132" s="209" t="inlineStr">
        <is>
          <t>Completed</t>
        </is>
      </c>
      <c r="BT132" s="210" t="n">
        <v>42879.0</v>
      </c>
      <c r="BU132" s="211" t="n">
        <v>6.61</v>
      </c>
      <c r="BV132" s="212" t="inlineStr">
        <is>
          <t>Actual</t>
        </is>
      </c>
      <c r="BW132" s="213" t="inlineStr">
        <is>
          <t/>
        </is>
      </c>
      <c r="BX132" s="214" t="inlineStr">
        <is>
          <t/>
        </is>
      </c>
      <c r="BY132" s="215" t="inlineStr">
        <is>
          <t>Later Stage VC</t>
        </is>
      </c>
      <c r="BZ132" s="216" t="inlineStr">
        <is>
          <t>Series B</t>
        </is>
      </c>
      <c r="CA132" s="217" t="inlineStr">
        <is>
          <t/>
        </is>
      </c>
      <c r="CB132" s="218" t="inlineStr">
        <is>
          <t>Venture Capital</t>
        </is>
      </c>
      <c r="CC132" s="219" t="inlineStr">
        <is>
          <t/>
        </is>
      </c>
      <c r="CD132" s="220" t="inlineStr">
        <is>
          <t/>
        </is>
      </c>
      <c r="CE132" s="221" t="inlineStr">
        <is>
          <t/>
        </is>
      </c>
      <c r="CF132" s="222" t="inlineStr">
        <is>
          <t>Completed</t>
        </is>
      </c>
      <c r="CG132" s="223" t="inlineStr">
        <is>
          <t>-1,81%</t>
        </is>
      </c>
      <c r="CH132" s="224" t="inlineStr">
        <is>
          <t>10</t>
        </is>
      </c>
      <c r="CI132" s="225" t="inlineStr">
        <is>
          <t>0,01%</t>
        </is>
      </c>
      <c r="CJ132" s="226" t="inlineStr">
        <is>
          <t>0,72%</t>
        </is>
      </c>
      <c r="CK132" s="227" t="inlineStr">
        <is>
          <t>-6,43%</t>
        </is>
      </c>
      <c r="CL132" s="228" t="inlineStr">
        <is>
          <t>6</t>
        </is>
      </c>
      <c r="CM132" s="229" t="inlineStr">
        <is>
          <t>0,15%</t>
        </is>
      </c>
      <c r="CN132" s="230" t="inlineStr">
        <is>
          <t>66</t>
        </is>
      </c>
      <c r="CO132" s="231" t="inlineStr">
        <is>
          <t>-12,71%</t>
        </is>
      </c>
      <c r="CP132" s="232" t="inlineStr">
        <is>
          <t>10</t>
        </is>
      </c>
      <c r="CQ132" s="233" t="inlineStr">
        <is>
          <t>-0,14%</t>
        </is>
      </c>
      <c r="CR132" s="234" t="inlineStr">
        <is>
          <t>19</t>
        </is>
      </c>
      <c r="CS132" s="235" t="inlineStr">
        <is>
          <t>0,09%</t>
        </is>
      </c>
      <c r="CT132" s="236" t="inlineStr">
        <is>
          <t>55</t>
        </is>
      </c>
      <c r="CU132" s="237" t="inlineStr">
        <is>
          <t>0,20%</t>
        </is>
      </c>
      <c r="CV132" s="238" t="inlineStr">
        <is>
          <t>76</t>
        </is>
      </c>
      <c r="CW132" s="239" t="inlineStr">
        <is>
          <t>9,81x</t>
        </is>
      </c>
      <c r="CX132" s="240" t="inlineStr">
        <is>
          <t>88</t>
        </is>
      </c>
      <c r="CY132" s="241" t="inlineStr">
        <is>
          <t>-0,05x</t>
        </is>
      </c>
      <c r="CZ132" s="242" t="inlineStr">
        <is>
          <t>-0,51%</t>
        </is>
      </c>
      <c r="DA132" s="243" t="inlineStr">
        <is>
          <t>4,69x</t>
        </is>
      </c>
      <c r="DB132" s="244" t="inlineStr">
        <is>
          <t>80</t>
        </is>
      </c>
      <c r="DC132" s="245" t="inlineStr">
        <is>
          <t>24,03x</t>
        </is>
      </c>
      <c r="DD132" s="246" t="inlineStr">
        <is>
          <t>91</t>
        </is>
      </c>
      <c r="DE132" s="247" t="inlineStr">
        <is>
          <t>4,46x</t>
        </is>
      </c>
      <c r="DF132" s="248" t="inlineStr">
        <is>
          <t>79</t>
        </is>
      </c>
      <c r="DG132" s="249" t="inlineStr">
        <is>
          <t>4,92x</t>
        </is>
      </c>
      <c r="DH132" s="250" t="inlineStr">
        <is>
          <t>79</t>
        </is>
      </c>
      <c r="DI132" s="251" t="inlineStr">
        <is>
          <t>38,60x</t>
        </is>
      </c>
      <c r="DJ132" s="252" t="inlineStr">
        <is>
          <t>91</t>
        </is>
      </c>
      <c r="DK132" s="253" t="inlineStr">
        <is>
          <t>9,46x</t>
        </is>
      </c>
      <c r="DL132" s="254" t="inlineStr">
        <is>
          <t>86</t>
        </is>
      </c>
      <c r="DM132" s="255" t="inlineStr">
        <is>
          <t>1.646</t>
        </is>
      </c>
      <c r="DN132" s="256" t="inlineStr">
        <is>
          <t>50</t>
        </is>
      </c>
      <c r="DO132" s="257" t="inlineStr">
        <is>
          <t>3,13%</t>
        </is>
      </c>
      <c r="DP132" s="258" t="inlineStr">
        <is>
          <t>30.549</t>
        </is>
      </c>
      <c r="DQ132" s="259" t="inlineStr">
        <is>
          <t>36</t>
        </is>
      </c>
      <c r="DR132" s="260" t="inlineStr">
        <is>
          <t>0,12%</t>
        </is>
      </c>
      <c r="DS132" s="261" t="inlineStr">
        <is>
          <t>177</t>
        </is>
      </c>
      <c r="DT132" s="262" t="inlineStr">
        <is>
          <t>0</t>
        </is>
      </c>
      <c r="DU132" s="263" t="inlineStr">
        <is>
          <t>0,00%</t>
        </is>
      </c>
      <c r="DV132" s="264" t="inlineStr">
        <is>
          <t>3.528</t>
        </is>
      </c>
      <c r="DW132" s="265" t="inlineStr">
        <is>
          <t>9</t>
        </is>
      </c>
      <c r="DX132" s="266" t="inlineStr">
        <is>
          <t>0,26%</t>
        </is>
      </c>
      <c r="DY132" s="267" t="inlineStr">
        <is>
          <t>PitchBook Research</t>
        </is>
      </c>
      <c r="DZ132" s="786">
        <f>HYPERLINK("https://my.pitchbook.com?c=56249-38", "View company online")</f>
      </c>
    </row>
    <row r="133">
      <c r="A133" s="9" t="inlineStr">
        <is>
          <t>62118-10</t>
        </is>
      </c>
      <c r="B133" s="10" t="inlineStr">
        <is>
          <t>Scandit</t>
        </is>
      </c>
      <c r="C133" s="11" t="inlineStr">
        <is>
          <t/>
        </is>
      </c>
      <c r="D133" s="12" t="inlineStr">
        <is>
          <t/>
        </is>
      </c>
      <c r="E133" s="13" t="inlineStr">
        <is>
          <t>62118-10</t>
        </is>
      </c>
      <c r="F133" s="14" t="inlineStr">
        <is>
          <t>Developer of a cross-platform mobile barcode scanner. The company provides an enterprise mobility and data capture platform and cloud services that enable healthcare, retail, logistics, manufacturing and government organizations to build, deploy and manage mobile apps for smartphones, tablets and wearable devices.</t>
        </is>
      </c>
      <c r="G133" s="15" t="inlineStr">
        <is>
          <t>Information Technology</t>
        </is>
      </c>
      <c r="H133" s="16" t="inlineStr">
        <is>
          <t>Software</t>
        </is>
      </c>
      <c r="I133" s="17" t="inlineStr">
        <is>
          <t>Social/Platform Software</t>
        </is>
      </c>
      <c r="J133" s="18" t="inlineStr">
        <is>
          <t>Social/Platform Software*; Electrical Equipment</t>
        </is>
      </c>
      <c r="K133" s="19" t="inlineStr">
        <is>
          <t>Artificial Intelligence &amp; Machine Learning, Internet of Things, Mobile, SaaS</t>
        </is>
      </c>
      <c r="L133" s="20" t="inlineStr">
        <is>
          <t>Venture Capital-Backed</t>
        </is>
      </c>
      <c r="M133" s="21" t="n">
        <v>11.04</v>
      </c>
      <c r="N133" s="22" t="inlineStr">
        <is>
          <t>Generating Revenue</t>
        </is>
      </c>
      <c r="O133" s="23" t="inlineStr">
        <is>
          <t>Privately Held (backing)</t>
        </is>
      </c>
      <c r="P133" s="24" t="inlineStr">
        <is>
          <t>Venture Capital</t>
        </is>
      </c>
      <c r="Q133" s="25" t="inlineStr">
        <is>
          <t>www.scandit.com</t>
        </is>
      </c>
      <c r="R133" s="26" t="n">
        <v>19.0</v>
      </c>
      <c r="S133" s="27" t="inlineStr">
        <is>
          <t/>
        </is>
      </c>
      <c r="T133" s="28" t="inlineStr">
        <is>
          <t/>
        </is>
      </c>
      <c r="U133" s="29" t="n">
        <v>2009.0</v>
      </c>
      <c r="V133" s="30" t="inlineStr">
        <is>
          <t/>
        </is>
      </c>
      <c r="W133" s="31" t="inlineStr">
        <is>
          <t/>
        </is>
      </c>
      <c r="X133" s="32" t="inlineStr">
        <is>
          <t/>
        </is>
      </c>
      <c r="Y133" s="33" t="inlineStr">
        <is>
          <t/>
        </is>
      </c>
      <c r="Z133" s="34" t="inlineStr">
        <is>
          <t/>
        </is>
      </c>
      <c r="AA133" s="35" t="inlineStr">
        <is>
          <t/>
        </is>
      </c>
      <c r="AB133" s="36" t="inlineStr">
        <is>
          <t/>
        </is>
      </c>
      <c r="AC133" s="37" t="inlineStr">
        <is>
          <t/>
        </is>
      </c>
      <c r="AD133" s="38" t="inlineStr">
        <is>
          <t/>
        </is>
      </c>
      <c r="AE133" s="39" t="inlineStr">
        <is>
          <t>94588-75P</t>
        </is>
      </c>
      <c r="AF133" s="40" t="inlineStr">
        <is>
          <t>Samuel Mueller</t>
        </is>
      </c>
      <c r="AG133" s="41" t="inlineStr">
        <is>
          <t>Co-Founder &amp; Chief Executive Officer</t>
        </is>
      </c>
      <c r="AH133" s="42" t="inlineStr">
        <is>
          <t>samuel@scandit.com</t>
        </is>
      </c>
      <c r="AI133" s="43" t="inlineStr">
        <is>
          <t>+41 (0)44 586 4540</t>
        </is>
      </c>
      <c r="AJ133" s="44" t="inlineStr">
        <is>
          <t>Zurich, Switzerland</t>
        </is>
      </c>
      <c r="AK133" s="45" t="inlineStr">
        <is>
          <t>Limmatstrasse 73</t>
        </is>
      </c>
      <c r="AL133" s="46" t="inlineStr">
        <is>
          <t/>
        </is>
      </c>
      <c r="AM133" s="47" t="inlineStr">
        <is>
          <t>Zurich</t>
        </is>
      </c>
      <c r="AN133" s="48" t="inlineStr">
        <is>
          <t/>
        </is>
      </c>
      <c r="AO133" s="49" t="inlineStr">
        <is>
          <t>8005</t>
        </is>
      </c>
      <c r="AP133" s="50" t="inlineStr">
        <is>
          <t>Switzerland</t>
        </is>
      </c>
      <c r="AQ133" s="51" t="inlineStr">
        <is>
          <t>+41 (0)44 586 4540</t>
        </is>
      </c>
      <c r="AR133" s="52" t="inlineStr">
        <is>
          <t/>
        </is>
      </c>
      <c r="AS133" s="53" t="inlineStr">
        <is>
          <t/>
        </is>
      </c>
      <c r="AT133" s="54" t="inlineStr">
        <is>
          <t>Europe</t>
        </is>
      </c>
      <c r="AU133" s="55" t="inlineStr">
        <is>
          <t>Western Europe</t>
        </is>
      </c>
      <c r="AV133" s="56" t="inlineStr">
        <is>
          <t>The company raised $7.5 million of Series A venture funding from Atomico on January 10, 2017. The company will use the funding to further develop its software-based, hardware agnostic data capture platform and cloud services as well as to expand its international footprint with new sales offices across the US and Europe.</t>
        </is>
      </c>
      <c r="AW133" s="57" t="inlineStr">
        <is>
          <t>Atomico, Venture kick</t>
        </is>
      </c>
      <c r="AX133" s="58" t="n">
        <v>2.0</v>
      </c>
      <c r="AY133" s="59" t="inlineStr">
        <is>
          <t/>
        </is>
      </c>
      <c r="AZ133" s="60" t="inlineStr">
        <is>
          <t/>
        </is>
      </c>
      <c r="BA133" s="61" t="inlineStr">
        <is>
          <t/>
        </is>
      </c>
      <c r="BB133" s="62" t="inlineStr">
        <is>
          <t>Atomico (www.atomico.com), Venture kick (www.venturekick.ch)</t>
        </is>
      </c>
      <c r="BC133" s="63" t="inlineStr">
        <is>
          <t/>
        </is>
      </c>
      <c r="BD133" s="64" t="inlineStr">
        <is>
          <t/>
        </is>
      </c>
      <c r="BE133" s="65" t="inlineStr">
        <is>
          <t/>
        </is>
      </c>
      <c r="BF133" s="66" t="inlineStr">
        <is>
          <t/>
        </is>
      </c>
      <c r="BG133" s="67" t="n">
        <v>41723.0</v>
      </c>
      <c r="BH133" s="68" t="n">
        <v>3.98</v>
      </c>
      <c r="BI133" s="69" t="inlineStr">
        <is>
          <t>Actual</t>
        </is>
      </c>
      <c r="BJ133" s="70" t="inlineStr">
        <is>
          <t/>
        </is>
      </c>
      <c r="BK133" s="71" t="inlineStr">
        <is>
          <t/>
        </is>
      </c>
      <c r="BL133" s="72" t="inlineStr">
        <is>
          <t>Angel (individual)</t>
        </is>
      </c>
      <c r="BM133" s="73" t="inlineStr">
        <is>
          <t>Angel</t>
        </is>
      </c>
      <c r="BN133" s="74" t="inlineStr">
        <is>
          <t/>
        </is>
      </c>
      <c r="BO133" s="75" t="inlineStr">
        <is>
          <t>Individual</t>
        </is>
      </c>
      <c r="BP133" s="76" t="inlineStr">
        <is>
          <t/>
        </is>
      </c>
      <c r="BQ133" s="77" t="inlineStr">
        <is>
          <t/>
        </is>
      </c>
      <c r="BR133" s="78" t="inlineStr">
        <is>
          <t/>
        </is>
      </c>
      <c r="BS133" s="79" t="inlineStr">
        <is>
          <t>Completed</t>
        </is>
      </c>
      <c r="BT133" s="80" t="n">
        <v>42745.0</v>
      </c>
      <c r="BU133" s="81" t="n">
        <v>7.06</v>
      </c>
      <c r="BV133" s="82" t="inlineStr">
        <is>
          <t>Actual</t>
        </is>
      </c>
      <c r="BW133" s="83" t="inlineStr">
        <is>
          <t/>
        </is>
      </c>
      <c r="BX133" s="84" t="inlineStr">
        <is>
          <t/>
        </is>
      </c>
      <c r="BY133" s="85" t="inlineStr">
        <is>
          <t>Later Stage VC</t>
        </is>
      </c>
      <c r="BZ133" s="86" t="inlineStr">
        <is>
          <t>Series A</t>
        </is>
      </c>
      <c r="CA133" s="87" t="inlineStr">
        <is>
          <t/>
        </is>
      </c>
      <c r="CB133" s="88" t="inlineStr">
        <is>
          <t>Venture Capital</t>
        </is>
      </c>
      <c r="CC133" s="89" t="inlineStr">
        <is>
          <t/>
        </is>
      </c>
      <c r="CD133" s="90" t="inlineStr">
        <is>
          <t/>
        </is>
      </c>
      <c r="CE133" s="91" t="inlineStr">
        <is>
          <t/>
        </is>
      </c>
      <c r="CF133" s="92" t="inlineStr">
        <is>
          <t>Completed</t>
        </is>
      </c>
      <c r="CG133" s="93" t="inlineStr">
        <is>
          <t>0,13%</t>
        </is>
      </c>
      <c r="CH133" s="94" t="inlineStr">
        <is>
          <t>84</t>
        </is>
      </c>
      <c r="CI133" s="95" t="inlineStr">
        <is>
          <t>0,07%</t>
        </is>
      </c>
      <c r="CJ133" s="96" t="inlineStr">
        <is>
          <t>108,93%</t>
        </is>
      </c>
      <c r="CK133" s="97" t="inlineStr">
        <is>
          <t>0,26%</t>
        </is>
      </c>
      <c r="CL133" s="98" t="inlineStr">
        <is>
          <t>92</t>
        </is>
      </c>
      <c r="CM133" s="99" t="inlineStr">
        <is>
          <t>-0,01%</t>
        </is>
      </c>
      <c r="CN133" s="100" t="inlineStr">
        <is>
          <t>18</t>
        </is>
      </c>
      <c r="CO133" s="101" t="inlineStr">
        <is>
          <t>-5,46%</t>
        </is>
      </c>
      <c r="CP133" s="102" t="inlineStr">
        <is>
          <t>20</t>
        </is>
      </c>
      <c r="CQ133" s="103" t="inlineStr">
        <is>
          <t>5,98%</t>
        </is>
      </c>
      <c r="CR133" s="104" t="inlineStr">
        <is>
          <t>99</t>
        </is>
      </c>
      <c r="CS133" s="105" t="inlineStr">
        <is>
          <t>0,01%</t>
        </is>
      </c>
      <c r="CT133" s="106" t="inlineStr">
        <is>
          <t>41</t>
        </is>
      </c>
      <c r="CU133" s="107" t="inlineStr">
        <is>
          <t>-0,02%</t>
        </is>
      </c>
      <c r="CV133" s="108" t="inlineStr">
        <is>
          <t>19</t>
        </is>
      </c>
      <c r="CW133" s="109" t="inlineStr">
        <is>
          <t>40,54x</t>
        </is>
      </c>
      <c r="CX133" s="110" t="inlineStr">
        <is>
          <t>96</t>
        </is>
      </c>
      <c r="CY133" s="111" t="inlineStr">
        <is>
          <t>0,49x</t>
        </is>
      </c>
      <c r="CZ133" s="112" t="inlineStr">
        <is>
          <t>1,23%</t>
        </is>
      </c>
      <c r="DA133" s="113" t="inlineStr">
        <is>
          <t>77,70x</t>
        </is>
      </c>
      <c r="DB133" s="114" t="inlineStr">
        <is>
          <t>99</t>
        </is>
      </c>
      <c r="DC133" s="115" t="inlineStr">
        <is>
          <t>3,37x</t>
        </is>
      </c>
      <c r="DD133" s="116" t="inlineStr">
        <is>
          <t>71</t>
        </is>
      </c>
      <c r="DE133" s="117" t="inlineStr">
        <is>
          <t>111,52x</t>
        </is>
      </c>
      <c r="DF133" s="118" t="inlineStr">
        <is>
          <t>98</t>
        </is>
      </c>
      <c r="DG133" s="119" t="inlineStr">
        <is>
          <t>43,89x</t>
        </is>
      </c>
      <c r="DH133" s="120" t="inlineStr">
        <is>
          <t>97</t>
        </is>
      </c>
      <c r="DI133" s="121" t="inlineStr">
        <is>
          <t>1,66x</t>
        </is>
      </c>
      <c r="DJ133" s="122" t="inlineStr">
        <is>
          <t>59</t>
        </is>
      </c>
      <c r="DK133" s="123" t="inlineStr">
        <is>
          <t>5,09x</t>
        </is>
      </c>
      <c r="DL133" s="124" t="inlineStr">
        <is>
          <t>79</t>
        </is>
      </c>
      <c r="DM133" s="125" t="inlineStr">
        <is>
          <t>41.181</t>
        </is>
      </c>
      <c r="DN133" s="126" t="inlineStr">
        <is>
          <t>956</t>
        </is>
      </c>
      <c r="DO133" s="127" t="inlineStr">
        <is>
          <t>2,38%</t>
        </is>
      </c>
      <c r="DP133" s="128" t="inlineStr">
        <is>
          <t>1.312</t>
        </is>
      </c>
      <c r="DQ133" s="129" t="inlineStr">
        <is>
          <t>2</t>
        </is>
      </c>
      <c r="DR133" s="130" t="inlineStr">
        <is>
          <t>0,15%</t>
        </is>
      </c>
      <c r="DS133" s="131" t="inlineStr">
        <is>
          <t>1.548</t>
        </is>
      </c>
      <c r="DT133" s="132" t="inlineStr">
        <is>
          <t>73</t>
        </is>
      </c>
      <c r="DU133" s="133" t="inlineStr">
        <is>
          <t>4,95%</t>
        </is>
      </c>
      <c r="DV133" s="134" t="inlineStr">
        <is>
          <t>1.902</t>
        </is>
      </c>
      <c r="DW133" s="135" t="inlineStr">
        <is>
          <t>2</t>
        </is>
      </c>
      <c r="DX133" s="136" t="inlineStr">
        <is>
          <t>0,11%</t>
        </is>
      </c>
      <c r="DY133" s="137" t="inlineStr">
        <is>
          <t>PitchBook Research</t>
        </is>
      </c>
      <c r="DZ133" s="785">
        <f>HYPERLINK("https://my.pitchbook.com?c=62118-10", "View company online")</f>
      </c>
    </row>
    <row r="134">
      <c r="A134" s="139" t="inlineStr">
        <is>
          <t>57686-77</t>
        </is>
      </c>
      <c r="B134" s="140" t="inlineStr">
        <is>
          <t>SilverCloud (Healthcare Technology)</t>
        </is>
      </c>
      <c r="C134" s="141" t="inlineStr">
        <is>
          <t/>
        </is>
      </c>
      <c r="D134" s="142" t="inlineStr">
        <is>
          <t/>
        </is>
      </c>
      <c r="E134" s="143" t="inlineStr">
        <is>
          <t>57686-77</t>
        </is>
      </c>
      <c r="F134" s="144" t="inlineStr">
        <is>
          <t>Provider of online therapeutic services intended to improve behavioral health and mental wellness. The company develops an online health and e-therapy platform which provides outcomes-focused online behavioral health and well-being systems enabling health systems and healthcare organizations to provide care populations with immediate access to clinically proven, evidenced-based content, programs and support within the area of mental health (depression, anxiety, stress) and long term/chronic illness care (diabetes, COPD, CVD).</t>
        </is>
      </c>
      <c r="G134" s="145" t="inlineStr">
        <is>
          <t>Healthcare</t>
        </is>
      </c>
      <c r="H134" s="146" t="inlineStr">
        <is>
          <t>Healthcare Technology Systems</t>
        </is>
      </c>
      <c r="I134" s="147" t="inlineStr">
        <is>
          <t>Other Healthcare Technology Systems</t>
        </is>
      </c>
      <c r="J134" s="148" t="inlineStr">
        <is>
          <t>Other Healthcare Technology Systems*; Application Software</t>
        </is>
      </c>
      <c r="K134" s="149" t="inlineStr">
        <is>
          <t>HealthTech, Mobile</t>
        </is>
      </c>
      <c r="L134" s="150" t="inlineStr">
        <is>
          <t>Venture Capital-Backed</t>
        </is>
      </c>
      <c r="M134" s="151" t="n">
        <v>10.83</v>
      </c>
      <c r="N134" s="152" t="inlineStr">
        <is>
          <t>Generating Revenue</t>
        </is>
      </c>
      <c r="O134" s="153" t="inlineStr">
        <is>
          <t>Privately Held (backing)</t>
        </is>
      </c>
      <c r="P134" s="154" t="inlineStr">
        <is>
          <t>Venture Capital</t>
        </is>
      </c>
      <c r="Q134" s="155" t="inlineStr">
        <is>
          <t>www.silvercloudhealth.com</t>
        </is>
      </c>
      <c r="R134" s="156" t="n">
        <v>24.0</v>
      </c>
      <c r="S134" s="157" t="inlineStr">
        <is>
          <t/>
        </is>
      </c>
      <c r="T134" s="158" t="inlineStr">
        <is>
          <t/>
        </is>
      </c>
      <c r="U134" s="159" t="n">
        <v>2012.0</v>
      </c>
      <c r="V134" s="160" t="inlineStr">
        <is>
          <t/>
        </is>
      </c>
      <c r="W134" s="161" t="inlineStr">
        <is>
          <t/>
        </is>
      </c>
      <c r="X134" s="162" t="inlineStr">
        <is>
          <t/>
        </is>
      </c>
      <c r="Y134" s="163" t="inlineStr">
        <is>
          <t/>
        </is>
      </c>
      <c r="Z134" s="164" t="inlineStr">
        <is>
          <t/>
        </is>
      </c>
      <c r="AA134" s="165" t="inlineStr">
        <is>
          <t/>
        </is>
      </c>
      <c r="AB134" s="166" t="inlineStr">
        <is>
          <t/>
        </is>
      </c>
      <c r="AC134" s="167" t="inlineStr">
        <is>
          <t/>
        </is>
      </c>
      <c r="AD134" s="168" t="inlineStr">
        <is>
          <t>FY 2014</t>
        </is>
      </c>
      <c r="AE134" s="169" t="inlineStr">
        <is>
          <t>51471-19P</t>
        </is>
      </c>
      <c r="AF134" s="170" t="inlineStr">
        <is>
          <t>Ken Cahill</t>
        </is>
      </c>
      <c r="AG134" s="171" t="inlineStr">
        <is>
          <t>Chief Executive Officer &amp; Co-Founder</t>
        </is>
      </c>
      <c r="AH134" s="172" t="inlineStr">
        <is>
          <t>ken.cahill@silvercloudhealth.com</t>
        </is>
      </c>
      <c r="AI134" s="173" t="inlineStr">
        <is>
          <t>+353 (0)1 554 9771</t>
        </is>
      </c>
      <c r="AJ134" s="174" t="inlineStr">
        <is>
          <t>Dublin, Ireland</t>
        </is>
      </c>
      <c r="AK134" s="175" t="inlineStr">
        <is>
          <t>The Priory</t>
        </is>
      </c>
      <c r="AL134" s="176" t="inlineStr">
        <is>
          <t>Johns Street West</t>
        </is>
      </c>
      <c r="AM134" s="177" t="inlineStr">
        <is>
          <t>Dublin</t>
        </is>
      </c>
      <c r="AN134" s="178" t="inlineStr">
        <is>
          <t/>
        </is>
      </c>
      <c r="AO134" s="179" t="inlineStr">
        <is>
          <t>8</t>
        </is>
      </c>
      <c r="AP134" s="180" t="inlineStr">
        <is>
          <t>Ireland</t>
        </is>
      </c>
      <c r="AQ134" s="181" t="inlineStr">
        <is>
          <t>+353 (0)1 554 9771</t>
        </is>
      </c>
      <c r="AR134" s="182" t="inlineStr">
        <is>
          <t/>
        </is>
      </c>
      <c r="AS134" s="183" t="inlineStr">
        <is>
          <t>info@silvercloudhealth.com</t>
        </is>
      </c>
      <c r="AT134" s="184" t="inlineStr">
        <is>
          <t>Europe</t>
        </is>
      </c>
      <c r="AU134" s="185" t="inlineStr">
        <is>
          <t>Western Europe</t>
        </is>
      </c>
      <c r="AV134" s="186" t="inlineStr">
        <is>
          <t>The company raised $8.1 million of Series A venture funding from lead investor B Capital Group on January 18, 2017. ACT Venture Capital, Investec Ventures, Dublin Business Innovation Centre, NDRC and Enterprise Ireland. The company will use the funding to meet growing demand in Europe and North America, build out its commercial, development and clinical teams and drive its clinical research and publishing agenda. Previously, the company joined MedTech Innovator as part of the 2016 Class on June 21, 2016.</t>
        </is>
      </c>
      <c r="AW134" s="187" t="inlineStr">
        <is>
          <t>ACT Venture Capital, B Capital Group, Dublin Business Innovation Centre, Enterprise Equity Venture Capital, Enterprise Ireland, Investec Bank, Investec Ventures, MedTech Innovator, NDRC</t>
        </is>
      </c>
      <c r="AX134" s="188" t="n">
        <v>9.0</v>
      </c>
      <c r="AY134" s="189" t="inlineStr">
        <is>
          <t/>
        </is>
      </c>
      <c r="AZ134" s="190" t="inlineStr">
        <is>
          <t/>
        </is>
      </c>
      <c r="BA134" s="191" t="inlineStr">
        <is>
          <t/>
        </is>
      </c>
      <c r="BB134" s="192" t="inlineStr">
        <is>
          <t>ACT Venture Capital (www.actventure.com), B Capital Group (www.bcapgroup.com), Dublin Business Innovation Centre (dublinbic.ie), Enterprise Equity Venture Capital (www.enterpriseequity.ie), Enterprise Ireland (www.enterprise-ireland.com), Investec Bank (www.investec.com), Investec Ventures (www.investec.ie), MedTech Innovator (www.medtechinnovator.org), NDRC (www.ndrc.ie)</t>
        </is>
      </c>
      <c r="BC134" s="193" t="inlineStr">
        <is>
          <t/>
        </is>
      </c>
      <c r="BD134" s="194" t="inlineStr">
        <is>
          <t/>
        </is>
      </c>
      <c r="BE134" s="195" t="inlineStr">
        <is>
          <t/>
        </is>
      </c>
      <c r="BF134" s="196" t="inlineStr">
        <is>
          <t>William Fry (Legal Advisor), Matheson (Legal Advisor)</t>
        </is>
      </c>
      <c r="BG134" s="197" t="n">
        <v>41452.0</v>
      </c>
      <c r="BH134" s="198" t="n">
        <v>1.5</v>
      </c>
      <c r="BI134" s="199" t="inlineStr">
        <is>
          <t>Actual</t>
        </is>
      </c>
      <c r="BJ134" s="200" t="inlineStr">
        <is>
          <t/>
        </is>
      </c>
      <c r="BK134" s="201" t="inlineStr">
        <is>
          <t/>
        </is>
      </c>
      <c r="BL134" s="202" t="inlineStr">
        <is>
          <t>Seed Round</t>
        </is>
      </c>
      <c r="BM134" s="203" t="inlineStr">
        <is>
          <t>Seed</t>
        </is>
      </c>
      <c r="BN134" s="204" t="inlineStr">
        <is>
          <t/>
        </is>
      </c>
      <c r="BO134" s="205" t="inlineStr">
        <is>
          <t>Venture Capital</t>
        </is>
      </c>
      <c r="BP134" s="206" t="inlineStr">
        <is>
          <t/>
        </is>
      </c>
      <c r="BQ134" s="207" t="inlineStr">
        <is>
          <t/>
        </is>
      </c>
      <c r="BR134" s="208" t="inlineStr">
        <is>
          <t/>
        </is>
      </c>
      <c r="BS134" s="209" t="inlineStr">
        <is>
          <t>Completed</t>
        </is>
      </c>
      <c r="BT134" s="210" t="n">
        <v>42753.0</v>
      </c>
      <c r="BU134" s="211" t="n">
        <v>7.63</v>
      </c>
      <c r="BV134" s="212" t="inlineStr">
        <is>
          <t>Actual</t>
        </is>
      </c>
      <c r="BW134" s="213" t="inlineStr">
        <is>
          <t/>
        </is>
      </c>
      <c r="BX134" s="214" t="inlineStr">
        <is>
          <t/>
        </is>
      </c>
      <c r="BY134" s="215" t="inlineStr">
        <is>
          <t>Later Stage VC</t>
        </is>
      </c>
      <c r="BZ134" s="216" t="inlineStr">
        <is>
          <t>Series A</t>
        </is>
      </c>
      <c r="CA134" s="217" t="inlineStr">
        <is>
          <t/>
        </is>
      </c>
      <c r="CB134" s="218" t="inlineStr">
        <is>
          <t>Venture Capital</t>
        </is>
      </c>
      <c r="CC134" s="219" t="inlineStr">
        <is>
          <t/>
        </is>
      </c>
      <c r="CD134" s="220" t="inlineStr">
        <is>
          <t/>
        </is>
      </c>
      <c r="CE134" s="221" t="inlineStr">
        <is>
          <t/>
        </is>
      </c>
      <c r="CF134" s="222" t="inlineStr">
        <is>
          <t>Completed</t>
        </is>
      </c>
      <c r="CG134" s="223" t="inlineStr">
        <is>
          <t>-0,83%</t>
        </is>
      </c>
      <c r="CH134" s="224" t="inlineStr">
        <is>
          <t>15</t>
        </is>
      </c>
      <c r="CI134" s="225" t="inlineStr">
        <is>
          <t>0,14%</t>
        </is>
      </c>
      <c r="CJ134" s="226" t="inlineStr">
        <is>
          <t>14,77%</t>
        </is>
      </c>
      <c r="CK134" s="227" t="inlineStr">
        <is>
          <t>-2,73%</t>
        </is>
      </c>
      <c r="CL134" s="228" t="inlineStr">
        <is>
          <t>12</t>
        </is>
      </c>
      <c r="CM134" s="229" t="inlineStr">
        <is>
          <t>1,07%</t>
        </is>
      </c>
      <c r="CN134" s="230" t="inlineStr">
        <is>
          <t>96</t>
        </is>
      </c>
      <c r="CO134" s="231" t="inlineStr">
        <is>
          <t>-5,16%</t>
        </is>
      </c>
      <c r="CP134" s="232" t="inlineStr">
        <is>
          <t>21</t>
        </is>
      </c>
      <c r="CQ134" s="233" t="inlineStr">
        <is>
          <t>-0,29%</t>
        </is>
      </c>
      <c r="CR134" s="234" t="inlineStr">
        <is>
          <t>18</t>
        </is>
      </c>
      <c r="CS134" s="235" t="inlineStr">
        <is>
          <t>1,91%</t>
        </is>
      </c>
      <c r="CT134" s="236" t="inlineStr">
        <is>
          <t>98</t>
        </is>
      </c>
      <c r="CU134" s="237" t="inlineStr">
        <is>
          <t>0,24%</t>
        </is>
      </c>
      <c r="CV134" s="238" t="inlineStr">
        <is>
          <t>79</t>
        </is>
      </c>
      <c r="CW134" s="239" t="inlineStr">
        <is>
          <t>2,94x</t>
        </is>
      </c>
      <c r="CX134" s="240" t="inlineStr">
        <is>
          <t>72</t>
        </is>
      </c>
      <c r="CY134" s="241" t="inlineStr">
        <is>
          <t>-0,02x</t>
        </is>
      </c>
      <c r="CZ134" s="242" t="inlineStr">
        <is>
          <t>-0,61%</t>
        </is>
      </c>
      <c r="DA134" s="243" t="inlineStr">
        <is>
          <t>2,53x</t>
        </is>
      </c>
      <c r="DB134" s="244" t="inlineStr">
        <is>
          <t>71</t>
        </is>
      </c>
      <c r="DC134" s="245" t="inlineStr">
        <is>
          <t>3,35x</t>
        </is>
      </c>
      <c r="DD134" s="246" t="inlineStr">
        <is>
          <t>70</t>
        </is>
      </c>
      <c r="DE134" s="247" t="inlineStr">
        <is>
          <t>0,40x</t>
        </is>
      </c>
      <c r="DF134" s="248" t="inlineStr">
        <is>
          <t>28</t>
        </is>
      </c>
      <c r="DG134" s="249" t="inlineStr">
        <is>
          <t>4,67x</t>
        </is>
      </c>
      <c r="DH134" s="250" t="inlineStr">
        <is>
          <t>78</t>
        </is>
      </c>
      <c r="DI134" s="251" t="inlineStr">
        <is>
          <t>0,15x</t>
        </is>
      </c>
      <c r="DJ134" s="252" t="inlineStr">
        <is>
          <t>19</t>
        </is>
      </c>
      <c r="DK134" s="253" t="inlineStr">
        <is>
          <t>6,54x</t>
        </is>
      </c>
      <c r="DL134" s="254" t="inlineStr">
        <is>
          <t>82</t>
        </is>
      </c>
      <c r="DM134" s="255" t="inlineStr">
        <is>
          <t>144</t>
        </is>
      </c>
      <c r="DN134" s="256" t="inlineStr">
        <is>
          <t>18</t>
        </is>
      </c>
      <c r="DO134" s="257" t="inlineStr">
        <is>
          <t>14,29%</t>
        </is>
      </c>
      <c r="DP134" s="258" t="inlineStr">
        <is>
          <t>116</t>
        </is>
      </c>
      <c r="DQ134" s="259" t="inlineStr">
        <is>
          <t>5</t>
        </is>
      </c>
      <c r="DR134" s="260" t="inlineStr">
        <is>
          <t>4,50%</t>
        </is>
      </c>
      <c r="DS134" s="261" t="inlineStr">
        <is>
          <t>168</t>
        </is>
      </c>
      <c r="DT134" s="262" t="inlineStr">
        <is>
          <t>0</t>
        </is>
      </c>
      <c r="DU134" s="263" t="inlineStr">
        <is>
          <t>0,00%</t>
        </is>
      </c>
      <c r="DV134" s="264" t="inlineStr">
        <is>
          <t>2.444</t>
        </is>
      </c>
      <c r="DW134" s="265" t="inlineStr">
        <is>
          <t>-2</t>
        </is>
      </c>
      <c r="DX134" s="266" t="inlineStr">
        <is>
          <t>-0,08%</t>
        </is>
      </c>
      <c r="DY134" s="267" t="inlineStr">
        <is>
          <t>PitchBook Research</t>
        </is>
      </c>
      <c r="DZ134" s="786">
        <f>HYPERLINK("https://my.pitchbook.com?c=57686-77", "View company online")</f>
      </c>
    </row>
    <row r="135">
      <c r="A135" s="9" t="inlineStr">
        <is>
          <t>60359-86</t>
        </is>
      </c>
      <c r="B135" s="10" t="inlineStr">
        <is>
          <t>2Can</t>
        </is>
      </c>
      <c r="C135" s="11" t="inlineStr">
        <is>
          <t/>
        </is>
      </c>
      <c r="D135" s="12" t="inlineStr">
        <is>
          <t/>
        </is>
      </c>
      <c r="E135" s="13" t="inlineStr">
        <is>
          <t>60359-86</t>
        </is>
      </c>
      <c r="F135" s="14" t="inlineStr">
        <is>
          <t>Developer of a mobile point of sale technology designed to accept Visa and MasterCard payments. The company's mobile point of sale technology includes an attachable reader device that helps to process bank card transactions for a flat fee, enabling users to accept payments with their iOS and Android phones anywhere and anytime.</t>
        </is>
      </c>
      <c r="G135" s="15" t="inlineStr">
        <is>
          <t>Information Technology</t>
        </is>
      </c>
      <c r="H135" s="16" t="inlineStr">
        <is>
          <t>Software</t>
        </is>
      </c>
      <c r="I135" s="17" t="inlineStr">
        <is>
          <t>Financial Software</t>
        </is>
      </c>
      <c r="J135" s="18" t="inlineStr">
        <is>
          <t>Financial Software*; Application Software; Vertical Market Software</t>
        </is>
      </c>
      <c r="K135" s="19" t="inlineStr">
        <is>
          <t>FinTech, Mobile</t>
        </is>
      </c>
      <c r="L135" s="20" t="inlineStr">
        <is>
          <t>Venture Capital-Backed</t>
        </is>
      </c>
      <c r="M135" s="21" t="n">
        <v>10.67</v>
      </c>
      <c r="N135" s="22" t="inlineStr">
        <is>
          <t>Generating Revenue</t>
        </is>
      </c>
      <c r="O135" s="23" t="inlineStr">
        <is>
          <t>Privately Held (backing)</t>
        </is>
      </c>
      <c r="P135" s="24" t="inlineStr">
        <is>
          <t>Venture Capital</t>
        </is>
      </c>
      <c r="Q135" s="25" t="inlineStr">
        <is>
          <t>www.2can.ru</t>
        </is>
      </c>
      <c r="R135" s="26" t="n">
        <v>21.0</v>
      </c>
      <c r="S135" s="27" t="inlineStr">
        <is>
          <t/>
        </is>
      </c>
      <c r="T135" s="28" t="inlineStr">
        <is>
          <t/>
        </is>
      </c>
      <c r="U135" s="29" t="n">
        <v>2012.0</v>
      </c>
      <c r="V135" s="30" t="inlineStr">
        <is>
          <t/>
        </is>
      </c>
      <c r="W135" s="31" t="inlineStr">
        <is>
          <t/>
        </is>
      </c>
      <c r="X135" s="32" t="inlineStr">
        <is>
          <t/>
        </is>
      </c>
      <c r="Y135" s="33" t="n">
        <v>0.95808</v>
      </c>
      <c r="Z135" s="34" t="inlineStr">
        <is>
          <t/>
        </is>
      </c>
      <c r="AA135" s="35" t="n">
        <v>-1.24265</v>
      </c>
      <c r="AB135" s="36" t="inlineStr">
        <is>
          <t/>
        </is>
      </c>
      <c r="AC135" s="37" t="inlineStr">
        <is>
          <t/>
        </is>
      </c>
      <c r="AD135" s="38" t="inlineStr">
        <is>
          <t>FY 2016</t>
        </is>
      </c>
      <c r="AE135" s="39" t="inlineStr">
        <is>
          <t>115669-09P</t>
        </is>
      </c>
      <c r="AF135" s="40" t="inlineStr">
        <is>
          <t>Dmitry Bogdashev</t>
        </is>
      </c>
      <c r="AG135" s="41" t="inlineStr">
        <is>
          <t>Chief Executive Officer</t>
        </is>
      </c>
      <c r="AH135" s="42" t="inlineStr">
        <is>
          <t>bogdashev@smart-fin.ru</t>
        </is>
      </c>
      <c r="AI135" s="43" t="inlineStr">
        <is>
          <t>+7 (8)800 505 2226</t>
        </is>
      </c>
      <c r="AJ135" s="44" t="inlineStr">
        <is>
          <t>Moscow, Russia</t>
        </is>
      </c>
      <c r="AK135" s="45" t="inlineStr">
        <is>
          <t>Andropova av.</t>
        </is>
      </c>
      <c r="AL135" s="46" t="inlineStr">
        <is>
          <t>18k7, floor 8</t>
        </is>
      </c>
      <c r="AM135" s="47" t="inlineStr">
        <is>
          <t>Moscow</t>
        </is>
      </c>
      <c r="AN135" s="48" t="inlineStr">
        <is>
          <t/>
        </is>
      </c>
      <c r="AO135" s="49" t="inlineStr">
        <is>
          <t>115432</t>
        </is>
      </c>
      <c r="AP135" s="50" t="inlineStr">
        <is>
          <t>Russia</t>
        </is>
      </c>
      <c r="AQ135" s="51" t="inlineStr">
        <is>
          <t>+7 (8)800 505 2226</t>
        </is>
      </c>
      <c r="AR135" s="52" t="inlineStr">
        <is>
          <t/>
        </is>
      </c>
      <c r="AS135" s="53" t="inlineStr">
        <is>
          <t/>
        </is>
      </c>
      <c r="AT135" s="54" t="inlineStr">
        <is>
          <t>Europe</t>
        </is>
      </c>
      <c r="AU135" s="55" t="inlineStr">
        <is>
          <t>Eastern Europe</t>
        </is>
      </c>
      <c r="AV135" s="56" t="inlineStr">
        <is>
          <t>The company raised $3 million of venture funding from Da Vinci Capital Management and InVenture Partners on July 25, 2017. Earlier, the company raised $3 million of Series C venture funding from Almaz Capital, InVenture Partners and ESN Group on September 28, 2015.</t>
        </is>
      </c>
      <c r="AW135" s="57" t="inlineStr">
        <is>
          <t>Almaz Capital, CIS Natural Resources Fund, Da Vinci Capital Management, InVenture Partners</t>
        </is>
      </c>
      <c r="AX135" s="58" t="n">
        <v>4.0</v>
      </c>
      <c r="AY135" s="59" t="inlineStr">
        <is>
          <t/>
        </is>
      </c>
      <c r="AZ135" s="60" t="inlineStr">
        <is>
          <t/>
        </is>
      </c>
      <c r="BA135" s="61" t="inlineStr">
        <is>
          <t/>
        </is>
      </c>
      <c r="BB135" s="62" t="inlineStr">
        <is>
          <t>Almaz Capital (www.almazcapital.com), Da Vinci Capital Management (www.dvcap.com), InVenture Partners (www.inventurepartners.com)</t>
        </is>
      </c>
      <c r="BC135" s="63" t="inlineStr">
        <is>
          <t/>
        </is>
      </c>
      <c r="BD135" s="64" t="inlineStr">
        <is>
          <t/>
        </is>
      </c>
      <c r="BE135" s="65" t="inlineStr">
        <is>
          <t/>
        </is>
      </c>
      <c r="BF135" s="66" t="inlineStr">
        <is>
          <t/>
        </is>
      </c>
      <c r="BG135" s="67" t="n">
        <v>41190.0</v>
      </c>
      <c r="BH135" s="68" t="n">
        <v>1.77</v>
      </c>
      <c r="BI135" s="69" t="inlineStr">
        <is>
          <t>Actual</t>
        </is>
      </c>
      <c r="BJ135" s="70" t="inlineStr">
        <is>
          <t/>
        </is>
      </c>
      <c r="BK135" s="71" t="inlineStr">
        <is>
          <t/>
        </is>
      </c>
      <c r="BL135" s="72" t="inlineStr">
        <is>
          <t>Early Stage VC</t>
        </is>
      </c>
      <c r="BM135" s="73" t="inlineStr">
        <is>
          <t>Series A</t>
        </is>
      </c>
      <c r="BN135" s="74" t="inlineStr">
        <is>
          <t/>
        </is>
      </c>
      <c r="BO135" s="75" t="inlineStr">
        <is>
          <t>Venture Capital</t>
        </is>
      </c>
      <c r="BP135" s="76" t="inlineStr">
        <is>
          <t/>
        </is>
      </c>
      <c r="BQ135" s="77" t="inlineStr">
        <is>
          <t/>
        </is>
      </c>
      <c r="BR135" s="78" t="inlineStr">
        <is>
          <t/>
        </is>
      </c>
      <c r="BS135" s="79" t="inlineStr">
        <is>
          <t>Completed</t>
        </is>
      </c>
      <c r="BT135" s="80" t="n">
        <v>42941.0</v>
      </c>
      <c r="BU135" s="81" t="n">
        <v>2.61</v>
      </c>
      <c r="BV135" s="82" t="inlineStr">
        <is>
          <t>Actual</t>
        </is>
      </c>
      <c r="BW135" s="83" t="inlineStr">
        <is>
          <t/>
        </is>
      </c>
      <c r="BX135" s="84" t="inlineStr">
        <is>
          <t/>
        </is>
      </c>
      <c r="BY135" s="85" t="inlineStr">
        <is>
          <t>Later Stage VC</t>
        </is>
      </c>
      <c r="BZ135" s="86" t="inlineStr">
        <is>
          <t/>
        </is>
      </c>
      <c r="CA135" s="87" t="inlineStr">
        <is>
          <t/>
        </is>
      </c>
      <c r="CB135" s="88" t="inlineStr">
        <is>
          <t>Venture Capital</t>
        </is>
      </c>
      <c r="CC135" s="89" t="inlineStr">
        <is>
          <t/>
        </is>
      </c>
      <c r="CD135" s="90" t="inlineStr">
        <is>
          <t/>
        </is>
      </c>
      <c r="CE135" s="91" t="inlineStr">
        <is>
          <t/>
        </is>
      </c>
      <c r="CF135" s="92" t="inlineStr">
        <is>
          <t>Completed</t>
        </is>
      </c>
      <c r="CG135" s="93" t="inlineStr">
        <is>
          <t>-4,33%</t>
        </is>
      </c>
      <c r="CH135" s="94" t="inlineStr">
        <is>
          <t>4</t>
        </is>
      </c>
      <c r="CI135" s="95" t="inlineStr">
        <is>
          <t>-0,03%</t>
        </is>
      </c>
      <c r="CJ135" s="96" t="inlineStr">
        <is>
          <t>-0,77%</t>
        </is>
      </c>
      <c r="CK135" s="97" t="inlineStr">
        <is>
          <t>-8,65%</t>
        </is>
      </c>
      <c r="CL135" s="98" t="inlineStr">
        <is>
          <t>4</t>
        </is>
      </c>
      <c r="CM135" s="99" t="inlineStr">
        <is>
          <t>0,00%</t>
        </is>
      </c>
      <c r="CN135" s="100" t="inlineStr">
        <is>
          <t>20</t>
        </is>
      </c>
      <c r="CO135" s="101" t="inlineStr">
        <is>
          <t>-16,94%</t>
        </is>
      </c>
      <c r="CP135" s="102" t="inlineStr">
        <is>
          <t>7</t>
        </is>
      </c>
      <c r="CQ135" s="103" t="inlineStr">
        <is>
          <t>-0,36%</t>
        </is>
      </c>
      <c r="CR135" s="104" t="inlineStr">
        <is>
          <t>17</t>
        </is>
      </c>
      <c r="CS135" s="105" t="inlineStr">
        <is>
          <t>0,00%</t>
        </is>
      </c>
      <c r="CT135" s="106" t="inlineStr">
        <is>
          <t>18</t>
        </is>
      </c>
      <c r="CU135" s="107" t="inlineStr">
        <is>
          <t>0,00%</t>
        </is>
      </c>
      <c r="CV135" s="108" t="inlineStr">
        <is>
          <t>21</t>
        </is>
      </c>
      <c r="CW135" s="109" t="inlineStr">
        <is>
          <t>3,40x</t>
        </is>
      </c>
      <c r="CX135" s="110" t="inlineStr">
        <is>
          <t>74</t>
        </is>
      </c>
      <c r="CY135" s="111" t="inlineStr">
        <is>
          <t>-0,02x</t>
        </is>
      </c>
      <c r="CZ135" s="112" t="inlineStr">
        <is>
          <t>-0,49%</t>
        </is>
      </c>
      <c r="DA135" s="113" t="inlineStr">
        <is>
          <t>4,43x</t>
        </is>
      </c>
      <c r="DB135" s="114" t="inlineStr">
        <is>
          <t>80</t>
        </is>
      </c>
      <c r="DC135" s="115" t="inlineStr">
        <is>
          <t>2,38x</t>
        </is>
      </c>
      <c r="DD135" s="116" t="inlineStr">
        <is>
          <t>65</t>
        </is>
      </c>
      <c r="DE135" s="117" t="inlineStr">
        <is>
          <t>0,41x</t>
        </is>
      </c>
      <c r="DF135" s="118" t="inlineStr">
        <is>
          <t>29</t>
        </is>
      </c>
      <c r="DG135" s="119" t="inlineStr">
        <is>
          <t>8,44x</t>
        </is>
      </c>
      <c r="DH135" s="120" t="inlineStr">
        <is>
          <t>85</t>
        </is>
      </c>
      <c r="DI135" s="121" t="inlineStr">
        <is>
          <t>3,81x</t>
        </is>
      </c>
      <c r="DJ135" s="122" t="inlineStr">
        <is>
          <t>71</t>
        </is>
      </c>
      <c r="DK135" s="123" t="inlineStr">
        <is>
          <t>0,95x</t>
        </is>
      </c>
      <c r="DL135" s="124" t="inlineStr">
        <is>
          <t>49</t>
        </is>
      </c>
      <c r="DM135" s="125" t="inlineStr">
        <is>
          <t>1.006</t>
        </is>
      </c>
      <c r="DN135" s="126" t="inlineStr">
        <is>
          <t>-1.993</t>
        </is>
      </c>
      <c r="DO135" s="127" t="inlineStr">
        <is>
          <t>-66,46%</t>
        </is>
      </c>
      <c r="DP135" s="128" t="inlineStr">
        <is>
          <t>3.021</t>
        </is>
      </c>
      <c r="DQ135" s="129" t="inlineStr">
        <is>
          <t>1</t>
        </is>
      </c>
      <c r="DR135" s="130" t="inlineStr">
        <is>
          <t>0,03%</t>
        </is>
      </c>
      <c r="DS135" s="131" t="inlineStr">
        <is>
          <t>304</t>
        </is>
      </c>
      <c r="DT135" s="132" t="inlineStr">
        <is>
          <t>-2</t>
        </is>
      </c>
      <c r="DU135" s="133" t="inlineStr">
        <is>
          <t>-0,65%</t>
        </is>
      </c>
      <c r="DV135" s="134" t="inlineStr">
        <is>
          <t>355</t>
        </is>
      </c>
      <c r="DW135" s="135" t="inlineStr">
        <is>
          <t>0</t>
        </is>
      </c>
      <c r="DX135" s="136" t="inlineStr">
        <is>
          <t>0,00%</t>
        </is>
      </c>
      <c r="DY135" s="137" t="inlineStr">
        <is>
          <t>PitchBook Research</t>
        </is>
      </c>
      <c r="DZ135" s="785">
        <f>HYPERLINK("https://my.pitchbook.com?c=60359-86", "View company online")</f>
      </c>
    </row>
    <row r="136">
      <c r="A136" s="139" t="inlineStr">
        <is>
          <t>95228-65</t>
        </is>
      </c>
      <c r="B136" s="140" t="inlineStr">
        <is>
          <t>Cars Hare Ventures</t>
        </is>
      </c>
      <c r="C136" s="141" t="inlineStr">
        <is>
          <t/>
        </is>
      </c>
      <c r="D136" s="142" t="inlineStr">
        <is>
          <t>SnappCar</t>
        </is>
      </c>
      <c r="E136" s="143" t="inlineStr">
        <is>
          <t>95228-65</t>
        </is>
      </c>
      <c r="F136" s="144" t="inlineStr">
        <is>
          <t>Developer of a peer-to-peer carsharing platform designed to provide an alternative to car ownership. The company's P2P platform offers a car rental marketplace where owners provide availability dates for their automobiles to be rented, enabling users to obtain an easy, reliable and alternative way of transportation.</t>
        </is>
      </c>
      <c r="G136" s="145" t="inlineStr">
        <is>
          <t>Information Technology</t>
        </is>
      </c>
      <c r="H136" s="146" t="inlineStr">
        <is>
          <t>Software</t>
        </is>
      </c>
      <c r="I136" s="147" t="inlineStr">
        <is>
          <t>Social/Platform Software</t>
        </is>
      </c>
      <c r="J136" s="148" t="inlineStr">
        <is>
          <t>Social/Platform Software*; Automotive</t>
        </is>
      </c>
      <c r="K136" s="149" t="inlineStr">
        <is>
          <t>E-Commerce, Mobile</t>
        </is>
      </c>
      <c r="L136" s="150" t="inlineStr">
        <is>
          <t>Venture Capital-Backed</t>
        </is>
      </c>
      <c r="M136" s="151" t="n">
        <v>10.56</v>
      </c>
      <c r="N136" s="152" t="inlineStr">
        <is>
          <t>Generating Revenue</t>
        </is>
      </c>
      <c r="O136" s="153" t="inlineStr">
        <is>
          <t>Privately Held (backing)</t>
        </is>
      </c>
      <c r="P136" s="154" t="inlineStr">
        <is>
          <t>Venture Capital</t>
        </is>
      </c>
      <c r="Q136" s="155" t="inlineStr">
        <is>
          <t>www.snappcar.nl</t>
        </is>
      </c>
      <c r="R136" s="156" t="n">
        <v>19.0</v>
      </c>
      <c r="S136" s="157" t="inlineStr">
        <is>
          <t/>
        </is>
      </c>
      <c r="T136" s="158" t="inlineStr">
        <is>
          <t/>
        </is>
      </c>
      <c r="U136" s="159" t="n">
        <v>2011.0</v>
      </c>
      <c r="V136" s="160" t="inlineStr">
        <is>
          <t/>
        </is>
      </c>
      <c r="W136" s="161" t="inlineStr">
        <is>
          <t/>
        </is>
      </c>
      <c r="X136" s="162" t="inlineStr">
        <is>
          <t/>
        </is>
      </c>
      <c r="Y136" s="163" t="inlineStr">
        <is>
          <t/>
        </is>
      </c>
      <c r="Z136" s="164" t="inlineStr">
        <is>
          <t/>
        </is>
      </c>
      <c r="AA136" s="165" t="inlineStr">
        <is>
          <t/>
        </is>
      </c>
      <c r="AB136" s="166" t="inlineStr">
        <is>
          <t/>
        </is>
      </c>
      <c r="AC136" s="167" t="inlineStr">
        <is>
          <t/>
        </is>
      </c>
      <c r="AD136" s="168" t="inlineStr">
        <is>
          <t/>
        </is>
      </c>
      <c r="AE136" s="169" t="inlineStr">
        <is>
          <t>90339-58P</t>
        </is>
      </c>
      <c r="AF136" s="170" t="inlineStr">
        <is>
          <t>Victor Van Tol</t>
        </is>
      </c>
      <c r="AG136" s="171" t="inlineStr">
        <is>
          <t>Co-Founder &amp; Managing Director</t>
        </is>
      </c>
      <c r="AH136" s="172" t="inlineStr">
        <is>
          <t>victor@snappcar.nl</t>
        </is>
      </c>
      <c r="AI136" s="173" t="inlineStr">
        <is>
          <t/>
        </is>
      </c>
      <c r="AJ136" s="174" t="inlineStr">
        <is>
          <t>Utrecht, Netherlands</t>
        </is>
      </c>
      <c r="AK136" s="175" t="inlineStr">
        <is>
          <t>PO Box 85459</t>
        </is>
      </c>
      <c r="AL136" s="176" t="inlineStr">
        <is>
          <t/>
        </is>
      </c>
      <c r="AM136" s="177" t="inlineStr">
        <is>
          <t>Utrecht</t>
        </is>
      </c>
      <c r="AN136" s="178" t="inlineStr">
        <is>
          <t/>
        </is>
      </c>
      <c r="AO136" s="179" t="inlineStr">
        <is>
          <t>3508</t>
        </is>
      </c>
      <c r="AP136" s="180" t="inlineStr">
        <is>
          <t>Netherlands</t>
        </is>
      </c>
      <c r="AQ136" s="181" t="inlineStr">
        <is>
          <t/>
        </is>
      </c>
      <c r="AR136" s="182" t="inlineStr">
        <is>
          <t/>
        </is>
      </c>
      <c r="AS136" s="183" t="inlineStr">
        <is>
          <t>info@snappcar.nl</t>
        </is>
      </c>
      <c r="AT136" s="184" t="inlineStr">
        <is>
          <t>Europe</t>
        </is>
      </c>
      <c r="AU136" s="185" t="inlineStr">
        <is>
          <t>Western Europe</t>
        </is>
      </c>
      <c r="AV136" s="186" t="inlineStr">
        <is>
          <t>The company raised EUR 10 million of venture funding in a deal led by Europcar Groupe on June 13, 2017. AutoBinkc and Founders also participated. The company intends to use the new capital to expand geographically within Europe and further improve and innovate its platform usage and services for its members.</t>
        </is>
      </c>
      <c r="AW136" s="187" t="inlineStr">
        <is>
          <t>AutoBinck, DOEN Foundation, Europcar, Founders, Horizon 2020, Pymwymic Group, Utrechtinc</t>
        </is>
      </c>
      <c r="AX136" s="188" t="n">
        <v>7.0</v>
      </c>
      <c r="AY136" s="189" t="inlineStr">
        <is>
          <t/>
        </is>
      </c>
      <c r="AZ136" s="190" t="inlineStr">
        <is>
          <t/>
        </is>
      </c>
      <c r="BA136" s="191" t="inlineStr">
        <is>
          <t/>
        </is>
      </c>
      <c r="BB136" s="192" t="inlineStr">
        <is>
          <t>AutoBinck (www.autobinck.com), DOEN Foundation (www.doen.nl), Europcar (www.europcar-group.com), Founders (www.founders.as), Pymwymic Group (www.pymwymic.com), Utrechtinc (www.utrechtinc.nl)</t>
        </is>
      </c>
      <c r="BC136" s="193" t="inlineStr">
        <is>
          <t/>
        </is>
      </c>
      <c r="BD136" s="194" t="inlineStr">
        <is>
          <t/>
        </is>
      </c>
      <c r="BE136" s="195" t="inlineStr">
        <is>
          <t/>
        </is>
      </c>
      <c r="BF136" s="196" t="inlineStr">
        <is>
          <t>OnePlanetCrowd (Lead Manager or Arranger), Ingen Housz (Advisor: General)</t>
        </is>
      </c>
      <c r="BG136" s="197" t="inlineStr">
        <is>
          <t/>
        </is>
      </c>
      <c r="BH136" s="198" t="inlineStr">
        <is>
          <t/>
        </is>
      </c>
      <c r="BI136" s="199" t="inlineStr">
        <is>
          <t/>
        </is>
      </c>
      <c r="BJ136" s="200" t="inlineStr">
        <is>
          <t/>
        </is>
      </c>
      <c r="BK136" s="201" t="inlineStr">
        <is>
          <t/>
        </is>
      </c>
      <c r="BL136" s="202" t="inlineStr">
        <is>
          <t>Accelerator/Incubator</t>
        </is>
      </c>
      <c r="BM136" s="203" t="inlineStr">
        <is>
          <t/>
        </is>
      </c>
      <c r="BN136" s="204" t="inlineStr">
        <is>
          <t/>
        </is>
      </c>
      <c r="BO136" s="205" t="inlineStr">
        <is>
          <t>Venture Capital</t>
        </is>
      </c>
      <c r="BP136" s="206" t="inlineStr">
        <is>
          <t/>
        </is>
      </c>
      <c r="BQ136" s="207" t="inlineStr">
        <is>
          <t/>
        </is>
      </c>
      <c r="BR136" s="208" t="inlineStr">
        <is>
          <t/>
        </is>
      </c>
      <c r="BS136" s="209" t="inlineStr">
        <is>
          <t>Completed</t>
        </is>
      </c>
      <c r="BT136" s="210" t="n">
        <v>42899.0</v>
      </c>
      <c r="BU136" s="211" t="n">
        <v>10.0</v>
      </c>
      <c r="BV136" s="212" t="inlineStr">
        <is>
          <t>Actual</t>
        </is>
      </c>
      <c r="BW136" s="213" t="inlineStr">
        <is>
          <t/>
        </is>
      </c>
      <c r="BX136" s="214" t="inlineStr">
        <is>
          <t/>
        </is>
      </c>
      <c r="BY136" s="215" t="inlineStr">
        <is>
          <t>Later Stage VC</t>
        </is>
      </c>
      <c r="BZ136" s="216" t="inlineStr">
        <is>
          <t/>
        </is>
      </c>
      <c r="CA136" s="217" t="inlineStr">
        <is>
          <t/>
        </is>
      </c>
      <c r="CB136" s="218" t="inlineStr">
        <is>
          <t>Venture Capital</t>
        </is>
      </c>
      <c r="CC136" s="219" t="inlineStr">
        <is>
          <t/>
        </is>
      </c>
      <c r="CD136" s="220" t="inlineStr">
        <is>
          <t/>
        </is>
      </c>
      <c r="CE136" s="221" t="inlineStr">
        <is>
          <t/>
        </is>
      </c>
      <c r="CF136" s="222" t="inlineStr">
        <is>
          <t>Completed</t>
        </is>
      </c>
      <c r="CG136" s="223" t="inlineStr">
        <is>
          <t>-3,48%</t>
        </is>
      </c>
      <c r="CH136" s="224" t="inlineStr">
        <is>
          <t>6</t>
        </is>
      </c>
      <c r="CI136" s="225" t="inlineStr">
        <is>
          <t>-0,02%</t>
        </is>
      </c>
      <c r="CJ136" s="226" t="inlineStr">
        <is>
          <t>-0,56%</t>
        </is>
      </c>
      <c r="CK136" s="227" t="inlineStr">
        <is>
          <t>-13,82%</t>
        </is>
      </c>
      <c r="CL136" s="228" t="inlineStr">
        <is>
          <t>2</t>
        </is>
      </c>
      <c r="CM136" s="229" t="inlineStr">
        <is>
          <t>6,87%</t>
        </is>
      </c>
      <c r="CN136" s="230" t="inlineStr">
        <is>
          <t>100</t>
        </is>
      </c>
      <c r="CO136" s="231" t="inlineStr">
        <is>
          <t>-27,57%</t>
        </is>
      </c>
      <c r="CP136" s="232" t="inlineStr">
        <is>
          <t>2</t>
        </is>
      </c>
      <c r="CQ136" s="233" t="inlineStr">
        <is>
          <t>-0,08%</t>
        </is>
      </c>
      <c r="CR136" s="234" t="inlineStr">
        <is>
          <t>20</t>
        </is>
      </c>
      <c r="CS136" s="235" t="inlineStr">
        <is>
          <t>13,67%</t>
        </is>
      </c>
      <c r="CT136" s="236" t="inlineStr">
        <is>
          <t>100</t>
        </is>
      </c>
      <c r="CU136" s="237" t="inlineStr">
        <is>
          <t>0,08%</t>
        </is>
      </c>
      <c r="CV136" s="238" t="inlineStr">
        <is>
          <t>63</t>
        </is>
      </c>
      <c r="CW136" s="239" t="inlineStr">
        <is>
          <t>25,90x</t>
        </is>
      </c>
      <c r="CX136" s="240" t="inlineStr">
        <is>
          <t>94</t>
        </is>
      </c>
      <c r="CY136" s="241" t="inlineStr">
        <is>
          <t>-0,10x</t>
        </is>
      </c>
      <c r="CZ136" s="242" t="inlineStr">
        <is>
          <t>-0,37%</t>
        </is>
      </c>
      <c r="DA136" s="243" t="inlineStr">
        <is>
          <t>14,27x</t>
        </is>
      </c>
      <c r="DB136" s="244" t="inlineStr">
        <is>
          <t>92</t>
        </is>
      </c>
      <c r="DC136" s="245" t="inlineStr">
        <is>
          <t>37,52x</t>
        </is>
      </c>
      <c r="DD136" s="246" t="inlineStr">
        <is>
          <t>93</t>
        </is>
      </c>
      <c r="DE136" s="247" t="inlineStr">
        <is>
          <t>1,16x</t>
        </is>
      </c>
      <c r="DF136" s="248" t="inlineStr">
        <is>
          <t>54</t>
        </is>
      </c>
      <c r="DG136" s="249" t="inlineStr">
        <is>
          <t>27,39x</t>
        </is>
      </c>
      <c r="DH136" s="250" t="inlineStr">
        <is>
          <t>95</t>
        </is>
      </c>
      <c r="DI136" s="251" t="inlineStr">
        <is>
          <t>65,35x</t>
        </is>
      </c>
      <c r="DJ136" s="252" t="inlineStr">
        <is>
          <t>93</t>
        </is>
      </c>
      <c r="DK136" s="253" t="inlineStr">
        <is>
          <t>9,70x</t>
        </is>
      </c>
      <c r="DL136" s="254" t="inlineStr">
        <is>
          <t>87</t>
        </is>
      </c>
      <c r="DM136" s="255" t="inlineStr">
        <is>
          <t>429</t>
        </is>
      </c>
      <c r="DN136" s="256" t="inlineStr">
        <is>
          <t>3</t>
        </is>
      </c>
      <c r="DO136" s="257" t="inlineStr">
        <is>
          <t>0,70%</t>
        </is>
      </c>
      <c r="DP136" s="258" t="inlineStr">
        <is>
          <t>51.658</t>
        </is>
      </c>
      <c r="DQ136" s="259" t="inlineStr">
        <is>
          <t>180</t>
        </is>
      </c>
      <c r="DR136" s="260" t="inlineStr">
        <is>
          <t>0,35%</t>
        </is>
      </c>
      <c r="DS136" s="261" t="inlineStr">
        <is>
          <t>986</t>
        </is>
      </c>
      <c r="DT136" s="262" t="inlineStr">
        <is>
          <t>-1</t>
        </is>
      </c>
      <c r="DU136" s="263" t="inlineStr">
        <is>
          <t>-0,10%</t>
        </is>
      </c>
      <c r="DV136" s="264" t="inlineStr">
        <is>
          <t>3.628</t>
        </is>
      </c>
      <c r="DW136" s="265" t="inlineStr">
        <is>
          <t>-1</t>
        </is>
      </c>
      <c r="DX136" s="266" t="inlineStr">
        <is>
          <t>-0,03%</t>
        </is>
      </c>
      <c r="DY136" s="267" t="inlineStr">
        <is>
          <t>PitchBook Research</t>
        </is>
      </c>
      <c r="DZ136" s="786">
        <f>HYPERLINK("https://my.pitchbook.com?c=95228-65", "View company online")</f>
      </c>
    </row>
    <row r="137">
      <c r="A137" s="9" t="inlineStr">
        <is>
          <t>63451-63</t>
        </is>
      </c>
      <c r="B137" s="10" t="inlineStr">
        <is>
          <t>MultiX</t>
        </is>
      </c>
      <c r="C137" s="11" t="inlineStr">
        <is>
          <t/>
        </is>
      </c>
      <c r="D137" s="12" t="inlineStr">
        <is>
          <t/>
        </is>
      </c>
      <c r="E137" s="13" t="inlineStr">
        <is>
          <t>63451-63</t>
        </is>
      </c>
      <c r="F137" s="14" t="inlineStr">
        <is>
          <t>Developer of advanced spectrometric X-ray detectors designed for material discrimination applications. The company's spectrometic X-ray detection technology is utilized for the identification of materials in general, non-destructive testing (NDT) and the detection of explosives in luggage and packages in particular, enabling integrator clients to reconcile efficient control of baggage, lower operating costs for airports and ensure the comfort of passengers.</t>
        </is>
      </c>
      <c r="G137" s="15" t="inlineStr">
        <is>
          <t>Business Products and Services (B2B)</t>
        </is>
      </c>
      <c r="H137" s="16" t="inlineStr">
        <is>
          <t>Commercial Products</t>
        </is>
      </c>
      <c r="I137" s="17" t="inlineStr">
        <is>
          <t>Electrical Equipment</t>
        </is>
      </c>
      <c r="J137" s="18" t="inlineStr">
        <is>
          <t>Electrical Equipment*; Industrial Supplies and Parts</t>
        </is>
      </c>
      <c r="K137" s="19" t="inlineStr">
        <is>
          <t>Manufacturing</t>
        </is>
      </c>
      <c r="L137" s="20" t="inlineStr">
        <is>
          <t>Venture Capital-Backed</t>
        </is>
      </c>
      <c r="M137" s="21" t="n">
        <v>10.5</v>
      </c>
      <c r="N137" s="22" t="inlineStr">
        <is>
          <t>Generating Revenue</t>
        </is>
      </c>
      <c r="O137" s="23" t="inlineStr">
        <is>
          <t>Privately Held (backing)</t>
        </is>
      </c>
      <c r="P137" s="24" t="inlineStr">
        <is>
          <t>Venture Capital</t>
        </is>
      </c>
      <c r="Q137" s="25" t="inlineStr">
        <is>
          <t>www.multixdetection.com</t>
        </is>
      </c>
      <c r="R137" s="26" t="n">
        <v>11.0</v>
      </c>
      <c r="S137" s="27" t="inlineStr">
        <is>
          <t/>
        </is>
      </c>
      <c r="T137" s="28" t="inlineStr">
        <is>
          <t/>
        </is>
      </c>
      <c r="U137" s="29" t="n">
        <v>2010.0</v>
      </c>
      <c r="V137" s="30" t="inlineStr">
        <is>
          <t/>
        </is>
      </c>
      <c r="W137" s="31" t="inlineStr">
        <is>
          <t/>
        </is>
      </c>
      <c r="X137" s="32" t="inlineStr">
        <is>
          <t/>
        </is>
      </c>
      <c r="Y137" s="33" t="n">
        <v>8.5045</v>
      </c>
      <c r="Z137" s="34" t="inlineStr">
        <is>
          <t/>
        </is>
      </c>
      <c r="AA137" s="35" t="inlineStr">
        <is>
          <t/>
        </is>
      </c>
      <c r="AB137" s="36" t="inlineStr">
        <is>
          <t/>
        </is>
      </c>
      <c r="AC137" s="37" t="inlineStr">
        <is>
          <t/>
        </is>
      </c>
      <c r="AD137" s="38" t="inlineStr">
        <is>
          <t>FY 2017</t>
        </is>
      </c>
      <c r="AE137" s="39" t="inlineStr">
        <is>
          <t>68123-71P</t>
        </is>
      </c>
      <c r="AF137" s="40" t="inlineStr">
        <is>
          <t>Jacques Doremus</t>
        </is>
      </c>
      <c r="AG137" s="41" t="inlineStr">
        <is>
          <t>Chairman, Co-Founder &amp; Chief Executive Officer</t>
        </is>
      </c>
      <c r="AH137" s="42" t="inlineStr">
        <is>
          <t>jacques.doremus@multixdetection.com</t>
        </is>
      </c>
      <c r="AI137" s="43" t="inlineStr">
        <is>
          <t>+33 (0)1 30 70 35 71</t>
        </is>
      </c>
      <c r="AJ137" s="44" t="inlineStr">
        <is>
          <t>Neuilly-sur-Seine, France</t>
        </is>
      </c>
      <c r="AK137" s="45" t="inlineStr">
        <is>
          <t>171 bis avenue Charles de Gaulle</t>
        </is>
      </c>
      <c r="AL137" s="46" t="inlineStr">
        <is>
          <t/>
        </is>
      </c>
      <c r="AM137" s="47" t="inlineStr">
        <is>
          <t>Neuilly-sur-Seine</t>
        </is>
      </c>
      <c r="AN137" s="48" t="inlineStr">
        <is>
          <t/>
        </is>
      </c>
      <c r="AO137" s="49" t="inlineStr">
        <is>
          <t>92200</t>
        </is>
      </c>
      <c r="AP137" s="50" t="inlineStr">
        <is>
          <t>France</t>
        </is>
      </c>
      <c r="AQ137" s="51" t="inlineStr">
        <is>
          <t>+33 (0)1 30 70 35 71</t>
        </is>
      </c>
      <c r="AR137" s="52" t="inlineStr">
        <is>
          <t/>
        </is>
      </c>
      <c r="AS137" s="53" t="inlineStr">
        <is>
          <t>contact@multixdetection.com</t>
        </is>
      </c>
      <c r="AT137" s="54" t="inlineStr">
        <is>
          <t>Europe</t>
        </is>
      </c>
      <c r="AU137" s="55" t="inlineStr">
        <is>
          <t>Western Europe</t>
        </is>
      </c>
      <c r="AV137" s="56" t="inlineStr">
        <is>
          <t>The company raised EUR 3.5 million of venture funding from Omnes Capital, Thales and H3C Technologies on March 17, 2017. Kreaxi, Helea Financiere, Alto Invest and other undisclosed existing investors have also participated in the round. The funds will enable the company to launch its production on its site in Moirans, Isère and to continue its development abroad.</t>
        </is>
      </c>
      <c r="AW137" s="57" t="inlineStr">
        <is>
          <t>ACE Management Equity Partner, Alto Invest, CEA Investissement, Eurekap, Expansinvest, H3C Technologies, Helea Financial, IncubAlliance, Kreaxi, Omnes Capital, Rhône-Alpes Création, Thales Corporate Ventures</t>
        </is>
      </c>
      <c r="AX137" s="58" t="n">
        <v>12.0</v>
      </c>
      <c r="AY137" s="59" t="inlineStr">
        <is>
          <t/>
        </is>
      </c>
      <c r="AZ137" s="60" t="inlineStr">
        <is>
          <t/>
        </is>
      </c>
      <c r="BA137" s="61" t="inlineStr">
        <is>
          <t/>
        </is>
      </c>
      <c r="BB137" s="62" t="inlineStr">
        <is>
          <t>ACE Management Equity Partner (www.acemanagement.fr), Alto Invest (www.altoinvest.fr), CEA Investissement (www.cea-investissement.com), Eurekap (www.eurekap.eu), Expansinvest (www.expansinvest.fr), H3C Technologies (www.h3c.com), IncubAlliance (www.incuballiance.fr), Kreaxi (www.kreaxi.com), Omnes Capital (www.omnescapital.com), Rhône-Alpes Création (www.r-a-c.fr)</t>
        </is>
      </c>
      <c r="BC137" s="63" t="inlineStr">
        <is>
          <t/>
        </is>
      </c>
      <c r="BD137" s="64" t="inlineStr">
        <is>
          <t/>
        </is>
      </c>
      <c r="BE137" s="65" t="inlineStr">
        <is>
          <t>Oaklins Aelios (Advisor: General), 2CFinance (Auditor), Fieldfisher (Legal Advisor)</t>
        </is>
      </c>
      <c r="BF137" s="66" t="inlineStr">
        <is>
          <t/>
        </is>
      </c>
      <c r="BG137" s="67" t="n">
        <v>40483.0</v>
      </c>
      <c r="BH137" s="68" t="inlineStr">
        <is>
          <t/>
        </is>
      </c>
      <c r="BI137" s="69" t="inlineStr">
        <is>
          <t/>
        </is>
      </c>
      <c r="BJ137" s="70" t="inlineStr">
        <is>
          <t/>
        </is>
      </c>
      <c r="BK137" s="71" t="inlineStr">
        <is>
          <t/>
        </is>
      </c>
      <c r="BL137" s="72" t="inlineStr">
        <is>
          <t>Accelerator/Incubator</t>
        </is>
      </c>
      <c r="BM137" s="73" t="inlineStr">
        <is>
          <t/>
        </is>
      </c>
      <c r="BN137" s="74" t="inlineStr">
        <is>
          <t/>
        </is>
      </c>
      <c r="BO137" s="75" t="inlineStr">
        <is>
          <t>Other</t>
        </is>
      </c>
      <c r="BP137" s="76" t="inlineStr">
        <is>
          <t/>
        </is>
      </c>
      <c r="BQ137" s="77" t="inlineStr">
        <is>
          <t/>
        </is>
      </c>
      <c r="BR137" s="78" t="inlineStr">
        <is>
          <t/>
        </is>
      </c>
      <c r="BS137" s="79" t="inlineStr">
        <is>
          <t>Completed</t>
        </is>
      </c>
      <c r="BT137" s="80" t="n">
        <v>42811.0</v>
      </c>
      <c r="BU137" s="81" t="n">
        <v>3.5</v>
      </c>
      <c r="BV137" s="82" t="inlineStr">
        <is>
          <t>Actual</t>
        </is>
      </c>
      <c r="BW137" s="83" t="inlineStr">
        <is>
          <t/>
        </is>
      </c>
      <c r="BX137" s="84" t="inlineStr">
        <is>
          <t/>
        </is>
      </c>
      <c r="BY137" s="85" t="inlineStr">
        <is>
          <t>Later Stage VC</t>
        </is>
      </c>
      <c r="BZ137" s="86" t="inlineStr">
        <is>
          <t/>
        </is>
      </c>
      <c r="CA137" s="87" t="inlineStr">
        <is>
          <t/>
        </is>
      </c>
      <c r="CB137" s="88" t="inlineStr">
        <is>
          <t>Venture Capital</t>
        </is>
      </c>
      <c r="CC137" s="89" t="inlineStr">
        <is>
          <t/>
        </is>
      </c>
      <c r="CD137" s="90" t="inlineStr">
        <is>
          <t/>
        </is>
      </c>
      <c r="CE137" s="91" t="inlineStr">
        <is>
          <t/>
        </is>
      </c>
      <c r="CF137" s="92" t="inlineStr">
        <is>
          <t>Completed</t>
        </is>
      </c>
      <c r="CG137" s="93" t="inlineStr">
        <is>
          <t>0,00%</t>
        </is>
      </c>
      <c r="CH137" s="94" t="inlineStr">
        <is>
          <t>33</t>
        </is>
      </c>
      <c r="CI137" s="95" t="inlineStr">
        <is>
          <t>0,00%</t>
        </is>
      </c>
      <c r="CJ137" s="96" t="inlineStr">
        <is>
          <t>0,00%</t>
        </is>
      </c>
      <c r="CK137" s="97" t="inlineStr">
        <is>
          <t>0,00%</t>
        </is>
      </c>
      <c r="CL137" s="98" t="inlineStr">
        <is>
          <t>28</t>
        </is>
      </c>
      <c r="CM137" s="99" t="inlineStr">
        <is>
          <t>0,00%</t>
        </is>
      </c>
      <c r="CN137" s="100" t="inlineStr">
        <is>
          <t>20</t>
        </is>
      </c>
      <c r="CO137" s="101" t="inlineStr">
        <is>
          <t>0,00%</t>
        </is>
      </c>
      <c r="CP137" s="102" t="inlineStr">
        <is>
          <t>37</t>
        </is>
      </c>
      <c r="CQ137" s="103" t="inlineStr">
        <is>
          <t>0,00%</t>
        </is>
      </c>
      <c r="CR137" s="104" t="inlineStr">
        <is>
          <t>20</t>
        </is>
      </c>
      <c r="CS137" s="105" t="inlineStr">
        <is>
          <t/>
        </is>
      </c>
      <c r="CT137" s="106" t="inlineStr">
        <is>
          <t/>
        </is>
      </c>
      <c r="CU137" s="107" t="inlineStr">
        <is>
          <t>0,00%</t>
        </is>
      </c>
      <c r="CV137" s="108" t="inlineStr">
        <is>
          <t>21</t>
        </is>
      </c>
      <c r="CW137" s="109" t="inlineStr">
        <is>
          <t>0,76x</t>
        </is>
      </c>
      <c r="CX137" s="110" t="inlineStr">
        <is>
          <t>42</t>
        </is>
      </c>
      <c r="CY137" s="111" t="inlineStr">
        <is>
          <t>0,00x</t>
        </is>
      </c>
      <c r="CZ137" s="112" t="inlineStr">
        <is>
          <t>-0,03%</t>
        </is>
      </c>
      <c r="DA137" s="113" t="inlineStr">
        <is>
          <t>1,48x</t>
        </is>
      </c>
      <c r="DB137" s="114" t="inlineStr">
        <is>
          <t>60</t>
        </is>
      </c>
      <c r="DC137" s="115" t="inlineStr">
        <is>
          <t>0,04x</t>
        </is>
      </c>
      <c r="DD137" s="116" t="inlineStr">
        <is>
          <t>7</t>
        </is>
      </c>
      <c r="DE137" s="117" t="inlineStr">
        <is>
          <t>0,24x</t>
        </is>
      </c>
      <c r="DF137" s="118" t="inlineStr">
        <is>
          <t>17</t>
        </is>
      </c>
      <c r="DG137" s="119" t="inlineStr">
        <is>
          <t>2,72x</t>
        </is>
      </c>
      <c r="DH137" s="120" t="inlineStr">
        <is>
          <t>70</t>
        </is>
      </c>
      <c r="DI137" s="121" t="inlineStr">
        <is>
          <t/>
        </is>
      </c>
      <c r="DJ137" s="122" t="inlineStr">
        <is>
          <t/>
        </is>
      </c>
      <c r="DK137" s="123" t="inlineStr">
        <is>
          <t>0,04x</t>
        </is>
      </c>
      <c r="DL137" s="124" t="inlineStr">
        <is>
          <t>9</t>
        </is>
      </c>
      <c r="DM137" s="125" t="inlineStr">
        <is>
          <t>100</t>
        </is>
      </c>
      <c r="DN137" s="126" t="inlineStr">
        <is>
          <t>-27</t>
        </is>
      </c>
      <c r="DO137" s="127" t="inlineStr">
        <is>
          <t>-21,26%</t>
        </is>
      </c>
      <c r="DP137" s="128" t="inlineStr">
        <is>
          <t/>
        </is>
      </c>
      <c r="DQ137" s="129" t="inlineStr">
        <is>
          <t/>
        </is>
      </c>
      <c r="DR137" s="130" t="inlineStr">
        <is>
          <t/>
        </is>
      </c>
      <c r="DS137" s="131" t="inlineStr">
        <is>
          <t>98</t>
        </is>
      </c>
      <c r="DT137" s="132" t="inlineStr">
        <is>
          <t>0</t>
        </is>
      </c>
      <c r="DU137" s="133" t="inlineStr">
        <is>
          <t>0,00%</t>
        </is>
      </c>
      <c r="DV137" s="134" t="inlineStr">
        <is>
          <t>15</t>
        </is>
      </c>
      <c r="DW137" s="135" t="inlineStr">
        <is>
          <t>0</t>
        </is>
      </c>
      <c r="DX137" s="136" t="inlineStr">
        <is>
          <t>0,00%</t>
        </is>
      </c>
      <c r="DY137" s="137" t="inlineStr">
        <is>
          <t>PitchBook Research</t>
        </is>
      </c>
      <c r="DZ137" s="785">
        <f>HYPERLINK("https://my.pitchbook.com?c=63451-63", "View company online")</f>
      </c>
    </row>
    <row r="138">
      <c r="A138" s="139" t="inlineStr">
        <is>
          <t>96456-97</t>
        </is>
      </c>
      <c r="B138" s="140" t="inlineStr">
        <is>
          <t>nDreams</t>
        </is>
      </c>
      <c r="C138" s="141" t="inlineStr">
        <is>
          <t/>
        </is>
      </c>
      <c r="D138" s="142" t="inlineStr">
        <is>
          <t/>
        </is>
      </c>
      <c r="E138" s="143" t="inlineStr">
        <is>
          <t>96456-97</t>
        </is>
      </c>
      <c r="F138" s="144" t="inlineStr">
        <is>
          <t>Developer and publisher of virtual reality (VR) games. The company is a creator of VR games for Oculus Rift, HTC Vive, Sony PlayStation VR, Samsung Gear VR and Google Cardboard devices. The company also partners with other VR game studios to develop and publish games.</t>
        </is>
      </c>
      <c r="G138" s="145" t="inlineStr">
        <is>
          <t>Information Technology</t>
        </is>
      </c>
      <c r="H138" s="146" t="inlineStr">
        <is>
          <t>Software</t>
        </is>
      </c>
      <c r="I138" s="147" t="inlineStr">
        <is>
          <t>Entertainment Software</t>
        </is>
      </c>
      <c r="J138" s="148" t="inlineStr">
        <is>
          <t>Entertainment Software*; Social/Platform Software</t>
        </is>
      </c>
      <c r="K138" s="149" t="inlineStr">
        <is>
          <t>Virtual Reality</t>
        </is>
      </c>
      <c r="L138" s="150" t="inlineStr">
        <is>
          <t>Venture Capital-Backed</t>
        </is>
      </c>
      <c r="M138" s="151" t="n">
        <v>10.34</v>
      </c>
      <c r="N138" s="152" t="inlineStr">
        <is>
          <t>Profitable</t>
        </is>
      </c>
      <c r="O138" s="153" t="inlineStr">
        <is>
          <t>Privately Held (backing)</t>
        </is>
      </c>
      <c r="P138" s="154" t="inlineStr">
        <is>
          <t>Venture Capital</t>
        </is>
      </c>
      <c r="Q138" s="155" t="inlineStr">
        <is>
          <t>www.ndreams.com</t>
        </is>
      </c>
      <c r="R138" s="156" t="n">
        <v>40.0</v>
      </c>
      <c r="S138" s="157" t="inlineStr">
        <is>
          <t/>
        </is>
      </c>
      <c r="T138" s="158" t="inlineStr">
        <is>
          <t/>
        </is>
      </c>
      <c r="U138" s="159" t="n">
        <v>2006.0</v>
      </c>
      <c r="V138" s="160" t="inlineStr">
        <is>
          <t/>
        </is>
      </c>
      <c r="W138" s="161" t="inlineStr">
        <is>
          <t/>
        </is>
      </c>
      <c r="X138" s="162" t="inlineStr">
        <is>
          <t/>
        </is>
      </c>
      <c r="Y138" s="163" t="inlineStr">
        <is>
          <t/>
        </is>
      </c>
      <c r="Z138" s="164" t="inlineStr">
        <is>
          <t/>
        </is>
      </c>
      <c r="AA138" s="165" t="inlineStr">
        <is>
          <t/>
        </is>
      </c>
      <c r="AB138" s="166" t="inlineStr">
        <is>
          <t/>
        </is>
      </c>
      <c r="AC138" s="167" t="inlineStr">
        <is>
          <t/>
        </is>
      </c>
      <c r="AD138" s="168" t="inlineStr">
        <is>
          <t/>
        </is>
      </c>
      <c r="AE138" s="169" t="inlineStr">
        <is>
          <t>93541-87P</t>
        </is>
      </c>
      <c r="AF138" s="170" t="inlineStr">
        <is>
          <t>Patrick O'Luanaigh</t>
        </is>
      </c>
      <c r="AG138" s="171" t="inlineStr">
        <is>
          <t>Founder, Chief Executive Officer &amp; Board Member</t>
        </is>
      </c>
      <c r="AH138" s="172" t="inlineStr">
        <is>
          <t>patrick.o'luanaigh@ndreams.com</t>
        </is>
      </c>
      <c r="AI138" s="173" t="inlineStr">
        <is>
          <t>+44 (0)12 5237 5754</t>
        </is>
      </c>
      <c r="AJ138" s="174" t="inlineStr">
        <is>
          <t>Farnborough, United Kingdom</t>
        </is>
      </c>
      <c r="AK138" s="175" t="inlineStr">
        <is>
          <t>Spectrum Point</t>
        </is>
      </c>
      <c r="AL138" s="176" t="inlineStr">
        <is>
          <t>279 Farnborough Road, Hampshire</t>
        </is>
      </c>
      <c r="AM138" s="177" t="inlineStr">
        <is>
          <t>Farnborough</t>
        </is>
      </c>
      <c r="AN138" s="178" t="inlineStr">
        <is>
          <t>England</t>
        </is>
      </c>
      <c r="AO138" s="179" t="inlineStr">
        <is>
          <t>GU14 7LS</t>
        </is>
      </c>
      <c r="AP138" s="180" t="inlineStr">
        <is>
          <t>United Kingdom</t>
        </is>
      </c>
      <c r="AQ138" s="181" t="inlineStr">
        <is>
          <t>+44 (0)12 5254 6082</t>
        </is>
      </c>
      <c r="AR138" s="182" t="inlineStr">
        <is>
          <t/>
        </is>
      </c>
      <c r="AS138" s="183" t="inlineStr">
        <is>
          <t>enquiries@ndreams.com</t>
        </is>
      </c>
      <c r="AT138" s="184" t="inlineStr">
        <is>
          <t>Europe</t>
        </is>
      </c>
      <c r="AU138" s="185" t="inlineStr">
        <is>
          <t>Western Europe</t>
        </is>
      </c>
      <c r="AV138" s="186" t="inlineStr">
        <is>
          <t>The comapny raised GBP 4.7 million of venture funding in a deal led by Mercia Technologies on July 13, 2017. Other undisclosed individual investors also participated in the round. The company will use the funds to expand their range of VR titles and grow their development team.</t>
        </is>
      </c>
      <c r="AW138" s="187" t="inlineStr">
        <is>
          <t>Mercia Technologies, Pip Burley</t>
        </is>
      </c>
      <c r="AX138" s="188" t="n">
        <v>2.0</v>
      </c>
      <c r="AY138" s="189" t="inlineStr">
        <is>
          <t/>
        </is>
      </c>
      <c r="AZ138" s="190" t="inlineStr">
        <is>
          <t/>
        </is>
      </c>
      <c r="BA138" s="191" t="inlineStr">
        <is>
          <t/>
        </is>
      </c>
      <c r="BB138" s="192" t="inlineStr">
        <is>
          <t>Mercia Technologies (www.merciatech.co.uk)</t>
        </is>
      </c>
      <c r="BC138" s="193" t="inlineStr">
        <is>
          <t/>
        </is>
      </c>
      <c r="BD138" s="194" t="inlineStr">
        <is>
          <t/>
        </is>
      </c>
      <c r="BE138" s="195" t="inlineStr">
        <is>
          <t/>
        </is>
      </c>
      <c r="BF138" s="196" t="inlineStr">
        <is>
          <t/>
        </is>
      </c>
      <c r="BG138" s="197" t="n">
        <v>40919.0</v>
      </c>
      <c r="BH138" s="198" t="inlineStr">
        <is>
          <t/>
        </is>
      </c>
      <c r="BI138" s="199" t="inlineStr">
        <is>
          <t/>
        </is>
      </c>
      <c r="BJ138" s="200" t="inlineStr">
        <is>
          <t/>
        </is>
      </c>
      <c r="BK138" s="201" t="inlineStr">
        <is>
          <t/>
        </is>
      </c>
      <c r="BL138" s="202" t="inlineStr">
        <is>
          <t>Angel (individual)</t>
        </is>
      </c>
      <c r="BM138" s="203" t="inlineStr">
        <is>
          <t>Angel</t>
        </is>
      </c>
      <c r="BN138" s="204" t="inlineStr">
        <is>
          <t/>
        </is>
      </c>
      <c r="BO138" s="205" t="inlineStr">
        <is>
          <t>Individual</t>
        </is>
      </c>
      <c r="BP138" s="206" t="inlineStr">
        <is>
          <t/>
        </is>
      </c>
      <c r="BQ138" s="207" t="inlineStr">
        <is>
          <t/>
        </is>
      </c>
      <c r="BR138" s="208" t="inlineStr">
        <is>
          <t/>
        </is>
      </c>
      <c r="BS138" s="209" t="inlineStr">
        <is>
          <t>Completed</t>
        </is>
      </c>
      <c r="BT138" s="210" t="n">
        <v>42929.0</v>
      </c>
      <c r="BU138" s="211" t="n">
        <v>5.31</v>
      </c>
      <c r="BV138" s="212" t="inlineStr">
        <is>
          <t>Actual</t>
        </is>
      </c>
      <c r="BW138" s="213" t="inlineStr">
        <is>
          <t/>
        </is>
      </c>
      <c r="BX138" s="214" t="inlineStr">
        <is>
          <t/>
        </is>
      </c>
      <c r="BY138" s="215" t="inlineStr">
        <is>
          <t>Later Stage VC</t>
        </is>
      </c>
      <c r="BZ138" s="216" t="inlineStr">
        <is>
          <t/>
        </is>
      </c>
      <c r="CA138" s="217" t="inlineStr">
        <is>
          <t/>
        </is>
      </c>
      <c r="CB138" s="218" t="inlineStr">
        <is>
          <t>Venture Capital</t>
        </is>
      </c>
      <c r="CC138" s="219" t="inlineStr">
        <is>
          <t/>
        </is>
      </c>
      <c r="CD138" s="220" t="inlineStr">
        <is>
          <t/>
        </is>
      </c>
      <c r="CE138" s="221" t="inlineStr">
        <is>
          <t/>
        </is>
      </c>
      <c r="CF138" s="222" t="inlineStr">
        <is>
          <t>Completed</t>
        </is>
      </c>
      <c r="CG138" s="223" t="inlineStr">
        <is>
          <t>-3,45%</t>
        </is>
      </c>
      <c r="CH138" s="224" t="inlineStr">
        <is>
          <t>6</t>
        </is>
      </c>
      <c r="CI138" s="225" t="inlineStr">
        <is>
          <t>-0,08%</t>
        </is>
      </c>
      <c r="CJ138" s="226" t="inlineStr">
        <is>
          <t>-2,39%</t>
        </is>
      </c>
      <c r="CK138" s="227" t="inlineStr">
        <is>
          <t>-7,33%</t>
        </is>
      </c>
      <c r="CL138" s="228" t="inlineStr">
        <is>
          <t>5</t>
        </is>
      </c>
      <c r="CM138" s="229" t="inlineStr">
        <is>
          <t>0,44%</t>
        </is>
      </c>
      <c r="CN138" s="230" t="inlineStr">
        <is>
          <t>87</t>
        </is>
      </c>
      <c r="CO138" s="231" t="inlineStr">
        <is>
          <t>-14,85%</t>
        </is>
      </c>
      <c r="CP138" s="232" t="inlineStr">
        <is>
          <t>8</t>
        </is>
      </c>
      <c r="CQ138" s="233" t="inlineStr">
        <is>
          <t>0,19%</t>
        </is>
      </c>
      <c r="CR138" s="234" t="inlineStr">
        <is>
          <t>90</t>
        </is>
      </c>
      <c r="CS138" s="235" t="inlineStr">
        <is>
          <t>0,50%</t>
        </is>
      </c>
      <c r="CT138" s="236" t="inlineStr">
        <is>
          <t>87</t>
        </is>
      </c>
      <c r="CU138" s="237" t="inlineStr">
        <is>
          <t>0,38%</t>
        </is>
      </c>
      <c r="CV138" s="238" t="inlineStr">
        <is>
          <t>87</t>
        </is>
      </c>
      <c r="CW138" s="239" t="inlineStr">
        <is>
          <t>11,37x</t>
        </is>
      </c>
      <c r="CX138" s="240" t="inlineStr">
        <is>
          <t>89</t>
        </is>
      </c>
      <c r="CY138" s="241" t="inlineStr">
        <is>
          <t>-0,05x</t>
        </is>
      </c>
      <c r="CZ138" s="242" t="inlineStr">
        <is>
          <t>-0,44%</t>
        </is>
      </c>
      <c r="DA138" s="243" t="inlineStr">
        <is>
          <t>11,21x</t>
        </is>
      </c>
      <c r="DB138" s="244" t="inlineStr">
        <is>
          <t>90</t>
        </is>
      </c>
      <c r="DC138" s="245" t="inlineStr">
        <is>
          <t>11,53x</t>
        </is>
      </c>
      <c r="DD138" s="246" t="inlineStr">
        <is>
          <t>85</t>
        </is>
      </c>
      <c r="DE138" s="247" t="inlineStr">
        <is>
          <t>2,47x</t>
        </is>
      </c>
      <c r="DF138" s="248" t="inlineStr">
        <is>
          <t>70</t>
        </is>
      </c>
      <c r="DG138" s="249" t="inlineStr">
        <is>
          <t>19,94x</t>
        </is>
      </c>
      <c r="DH138" s="250" t="inlineStr">
        <is>
          <t>93</t>
        </is>
      </c>
      <c r="DI138" s="251" t="inlineStr">
        <is>
          <t>1,59x</t>
        </is>
      </c>
      <c r="DJ138" s="252" t="inlineStr">
        <is>
          <t>58</t>
        </is>
      </c>
      <c r="DK138" s="253" t="inlineStr">
        <is>
          <t>21,47x</t>
        </is>
      </c>
      <c r="DL138" s="254" t="inlineStr">
        <is>
          <t>93</t>
        </is>
      </c>
      <c r="DM138" s="255" t="inlineStr">
        <is>
          <t>930</t>
        </is>
      </c>
      <c r="DN138" s="256" t="inlineStr">
        <is>
          <t>-72</t>
        </is>
      </c>
      <c r="DO138" s="257" t="inlineStr">
        <is>
          <t>-7,19%</t>
        </is>
      </c>
      <c r="DP138" s="258" t="inlineStr">
        <is>
          <t>1.258</t>
        </is>
      </c>
      <c r="DQ138" s="259" t="inlineStr">
        <is>
          <t>4</t>
        </is>
      </c>
      <c r="DR138" s="260" t="inlineStr">
        <is>
          <t>0,32%</t>
        </is>
      </c>
      <c r="DS138" s="261" t="inlineStr">
        <is>
          <t>717</t>
        </is>
      </c>
      <c r="DT138" s="262" t="inlineStr">
        <is>
          <t>1</t>
        </is>
      </c>
      <c r="DU138" s="263" t="inlineStr">
        <is>
          <t>0,14%</t>
        </is>
      </c>
      <c r="DV138" s="264" t="inlineStr">
        <is>
          <t>8.032</t>
        </is>
      </c>
      <c r="DW138" s="265" t="inlineStr">
        <is>
          <t>20</t>
        </is>
      </c>
      <c r="DX138" s="266" t="inlineStr">
        <is>
          <t>0,25%</t>
        </is>
      </c>
      <c r="DY138" s="267" t="inlineStr">
        <is>
          <t>PitchBook Research</t>
        </is>
      </c>
      <c r="DZ138" s="786">
        <f>HYPERLINK("https://my.pitchbook.com?c=96456-97", "View company online")</f>
      </c>
    </row>
    <row r="139">
      <c r="A139" s="9" t="inlineStr">
        <is>
          <t>56565-55</t>
        </is>
      </c>
      <c r="B139" s="10" t="inlineStr">
        <is>
          <t>Streamdata.io</t>
        </is>
      </c>
      <c r="C139" s="11" t="inlineStr">
        <is>
          <t>Mobile Service</t>
        </is>
      </c>
      <c r="D139" s="12" t="inlineStr">
        <is>
          <t/>
        </is>
      </c>
      <c r="E139" s="13" t="inlineStr">
        <is>
          <t>56565-55</t>
        </is>
      </c>
      <c r="F139" s="14" t="inlineStr">
        <is>
          <t>Developer of a software designed to turn any application program interface (API) into a real-time experience. The company's software reduces API bandwidth consumption for web, mobile and Internet of Things (IoT) platforms, as well as develops software and infrastructure to turn content into streams that integrate into front-end and back-end systems, enabling web developers to focus on user experience as well as to reduce the server load and prevent scalability issues.</t>
        </is>
      </c>
      <c r="G139" s="15" t="inlineStr">
        <is>
          <t>Consumer Products and Services (B2C)</t>
        </is>
      </c>
      <c r="H139" s="16" t="inlineStr">
        <is>
          <t>Media</t>
        </is>
      </c>
      <c r="I139" s="17" t="inlineStr">
        <is>
          <t>Publishing</t>
        </is>
      </c>
      <c r="J139" s="18" t="inlineStr">
        <is>
          <t>Publishing*; Application Software; Software Development Applications; Other Software</t>
        </is>
      </c>
      <c r="K139" s="19" t="inlineStr">
        <is>
          <t>Internet of Things, Mobile</t>
        </is>
      </c>
      <c r="L139" s="20" t="inlineStr">
        <is>
          <t>Venture Capital-Backed</t>
        </is>
      </c>
      <c r="M139" s="21" t="n">
        <v>10.28</v>
      </c>
      <c r="N139" s="22" t="inlineStr">
        <is>
          <t>Generating Revenue</t>
        </is>
      </c>
      <c r="O139" s="23" t="inlineStr">
        <is>
          <t>Privately Held (backing)</t>
        </is>
      </c>
      <c r="P139" s="24" t="inlineStr">
        <is>
          <t>Venture Capital</t>
        </is>
      </c>
      <c r="Q139" s="25" t="inlineStr">
        <is>
          <t>www.streamdata.io</t>
        </is>
      </c>
      <c r="R139" s="26" t="n">
        <v>19.0</v>
      </c>
      <c r="S139" s="27" t="inlineStr">
        <is>
          <t/>
        </is>
      </c>
      <c r="T139" s="28" t="inlineStr">
        <is>
          <t/>
        </is>
      </c>
      <c r="U139" s="29" t="n">
        <v>2008.0</v>
      </c>
      <c r="V139" s="30" t="inlineStr">
        <is>
          <t/>
        </is>
      </c>
      <c r="W139" s="31" t="inlineStr">
        <is>
          <t/>
        </is>
      </c>
      <c r="X139" s="32" t="inlineStr">
        <is>
          <t/>
        </is>
      </c>
      <c r="Y139" s="33" t="n">
        <v>0.4743</v>
      </c>
      <c r="Z139" s="34" t="n">
        <v>0.0</v>
      </c>
      <c r="AA139" s="35" t="inlineStr">
        <is>
          <t/>
        </is>
      </c>
      <c r="AB139" s="36" t="inlineStr">
        <is>
          <t/>
        </is>
      </c>
      <c r="AC139" s="37" t="n">
        <v>-0.9391</v>
      </c>
      <c r="AD139" s="38" t="inlineStr">
        <is>
          <t>FY 2016</t>
        </is>
      </c>
      <c r="AE139" s="39" t="inlineStr">
        <is>
          <t>73634-77P</t>
        </is>
      </c>
      <c r="AF139" s="40" t="inlineStr">
        <is>
          <t>Eric Horesnyi</t>
        </is>
      </c>
      <c r="AG139" s="41" t="inlineStr">
        <is>
          <t>Co-Founder, Chief Executive Officer &amp; Chairman</t>
        </is>
      </c>
      <c r="AH139" s="42" t="inlineStr">
        <is>
          <t>eric.horesnyi@motwin.com</t>
        </is>
      </c>
      <c r="AI139" s="43" t="inlineStr">
        <is>
          <t>+33 (0)6 79 68 24 22</t>
        </is>
      </c>
      <c r="AJ139" s="44" t="inlineStr">
        <is>
          <t>Meylan, France</t>
        </is>
      </c>
      <c r="AK139" s="45" t="inlineStr">
        <is>
          <t>35, Chemin du Vieux Chêne</t>
        </is>
      </c>
      <c r="AL139" s="46" t="inlineStr">
        <is>
          <t/>
        </is>
      </c>
      <c r="AM139" s="47" t="inlineStr">
        <is>
          <t>Meylan</t>
        </is>
      </c>
      <c r="AN139" s="48" t="inlineStr">
        <is>
          <t/>
        </is>
      </c>
      <c r="AO139" s="49" t="inlineStr">
        <is>
          <t>38240</t>
        </is>
      </c>
      <c r="AP139" s="50" t="inlineStr">
        <is>
          <t>France</t>
        </is>
      </c>
      <c r="AQ139" s="51" t="inlineStr">
        <is>
          <t/>
        </is>
      </c>
      <c r="AR139" s="52" t="inlineStr">
        <is>
          <t/>
        </is>
      </c>
      <c r="AS139" s="53" t="inlineStr">
        <is>
          <t>community@streamdata.io</t>
        </is>
      </c>
      <c r="AT139" s="54" t="inlineStr">
        <is>
          <t>Europe</t>
        </is>
      </c>
      <c r="AU139" s="55" t="inlineStr">
        <is>
          <t>Western Europe</t>
        </is>
      </c>
      <c r="AV139" s="56" t="inlineStr">
        <is>
          <t>The company raised $2 million of venture funding from Connecticut Innovations and other undisclosed investors on April 19, 2017. Previously, the company joined Connecticut Innovations as a part of its VentureClash competition on October 24, 2016 and received $500,000 in funding. The company is being actively tracked by PitchBook.</t>
        </is>
      </c>
      <c r="AW139" s="57" t="inlineStr">
        <is>
          <t>Connecticut Innovations, Credit Agricole, Expansinvest, Helea Financial, Horizon 2020, Naxicap Partners, Rhône-Alpes Création, Seventure Partners, Sigma Gestion, Sud Rhone-Alpes Capital, Teamgroup Investment</t>
        </is>
      </c>
      <c r="AX139" s="58" t="n">
        <v>11.0</v>
      </c>
      <c r="AY139" s="59" t="inlineStr">
        <is>
          <t/>
        </is>
      </c>
      <c r="AZ139" s="60" t="inlineStr">
        <is>
          <t/>
        </is>
      </c>
      <c r="BA139" s="61" t="inlineStr">
        <is>
          <t/>
        </is>
      </c>
      <c r="BB139" s="62" t="inlineStr">
        <is>
          <t>Connecticut Innovations (www.ctinnovations.com), Credit Agricole (www.credit-agricole.com), Expansinvest (www.expansinvest.fr), Naxicap Partners (www.naxicap.fr), Rhône-Alpes Création (www.r-a-c.fr), Seventure Partners (www.seventure.fr), Sigma Gestion (www.sigmagestion.com)</t>
        </is>
      </c>
      <c r="BC139" s="63" t="inlineStr">
        <is>
          <t/>
        </is>
      </c>
      <c r="BD139" s="64" t="inlineStr">
        <is>
          <t/>
        </is>
      </c>
      <c r="BE139" s="65" t="inlineStr">
        <is>
          <t/>
        </is>
      </c>
      <c r="BF139" s="66" t="inlineStr">
        <is>
          <t/>
        </is>
      </c>
      <c r="BG139" s="67" t="n">
        <v>39448.0</v>
      </c>
      <c r="BH139" s="68" t="inlineStr">
        <is>
          <t/>
        </is>
      </c>
      <c r="BI139" s="69" t="inlineStr">
        <is>
          <t/>
        </is>
      </c>
      <c r="BJ139" s="70" t="inlineStr">
        <is>
          <t/>
        </is>
      </c>
      <c r="BK139" s="71" t="inlineStr">
        <is>
          <t/>
        </is>
      </c>
      <c r="BL139" s="72" t="inlineStr">
        <is>
          <t>Early Stage VC</t>
        </is>
      </c>
      <c r="BM139" s="73" t="inlineStr">
        <is>
          <t/>
        </is>
      </c>
      <c r="BN139" s="74" t="inlineStr">
        <is>
          <t/>
        </is>
      </c>
      <c r="BO139" s="75" t="inlineStr">
        <is>
          <t>Venture Capital</t>
        </is>
      </c>
      <c r="BP139" s="76" t="inlineStr">
        <is>
          <t/>
        </is>
      </c>
      <c r="BQ139" s="77" t="inlineStr">
        <is>
          <t/>
        </is>
      </c>
      <c r="BR139" s="78" t="inlineStr">
        <is>
          <t/>
        </is>
      </c>
      <c r="BS139" s="79" t="inlineStr">
        <is>
          <t>Completed</t>
        </is>
      </c>
      <c r="BT139" s="80" t="n">
        <v>42844.0</v>
      </c>
      <c r="BU139" s="81" t="n">
        <v>1.87</v>
      </c>
      <c r="BV139" s="82" t="inlineStr">
        <is>
          <t>Actual</t>
        </is>
      </c>
      <c r="BW139" s="83" t="inlineStr">
        <is>
          <t/>
        </is>
      </c>
      <c r="BX139" s="84" t="inlineStr">
        <is>
          <t/>
        </is>
      </c>
      <c r="BY139" s="85" t="inlineStr">
        <is>
          <t>Later Stage VC</t>
        </is>
      </c>
      <c r="BZ139" s="86" t="inlineStr">
        <is>
          <t/>
        </is>
      </c>
      <c r="CA139" s="87" t="inlineStr">
        <is>
          <t/>
        </is>
      </c>
      <c r="CB139" s="88" t="inlineStr">
        <is>
          <t>Venture Capital</t>
        </is>
      </c>
      <c r="CC139" s="89" t="inlineStr">
        <is>
          <t/>
        </is>
      </c>
      <c r="CD139" s="90" t="inlineStr">
        <is>
          <t/>
        </is>
      </c>
      <c r="CE139" s="91" t="inlineStr">
        <is>
          <t/>
        </is>
      </c>
      <c r="CF139" s="92" t="inlineStr">
        <is>
          <t>Completed</t>
        </is>
      </c>
      <c r="CG139" s="93" t="inlineStr">
        <is>
          <t>-1,82%</t>
        </is>
      </c>
      <c r="CH139" s="94" t="inlineStr">
        <is>
          <t>10</t>
        </is>
      </c>
      <c r="CI139" s="95" t="inlineStr">
        <is>
          <t>-0,19%</t>
        </is>
      </c>
      <c r="CJ139" s="96" t="inlineStr">
        <is>
          <t>-11,63%</t>
        </is>
      </c>
      <c r="CK139" s="97" t="inlineStr">
        <is>
          <t>-4,68%</t>
        </is>
      </c>
      <c r="CL139" s="98" t="inlineStr">
        <is>
          <t>8</t>
        </is>
      </c>
      <c r="CM139" s="99" t="inlineStr">
        <is>
          <t>1,05%</t>
        </is>
      </c>
      <c r="CN139" s="100" t="inlineStr">
        <is>
          <t>96</t>
        </is>
      </c>
      <c r="CO139" s="101" t="inlineStr">
        <is>
          <t>-9,36%</t>
        </is>
      </c>
      <c r="CP139" s="102" t="inlineStr">
        <is>
          <t>14</t>
        </is>
      </c>
      <c r="CQ139" s="103" t="inlineStr">
        <is>
          <t>0,00%</t>
        </is>
      </c>
      <c r="CR139" s="104" t="inlineStr">
        <is>
          <t>20</t>
        </is>
      </c>
      <c r="CS139" s="105" t="inlineStr">
        <is>
          <t/>
        </is>
      </c>
      <c r="CT139" s="106" t="inlineStr">
        <is>
          <t/>
        </is>
      </c>
      <c r="CU139" s="107" t="inlineStr">
        <is>
          <t>1,05%</t>
        </is>
      </c>
      <c r="CV139" s="108" t="inlineStr">
        <is>
          <t>97</t>
        </is>
      </c>
      <c r="CW139" s="109" t="inlineStr">
        <is>
          <t>3,17x</t>
        </is>
      </c>
      <c r="CX139" s="110" t="inlineStr">
        <is>
          <t>73</t>
        </is>
      </c>
      <c r="CY139" s="111" t="inlineStr">
        <is>
          <t>-0,02x</t>
        </is>
      </c>
      <c r="CZ139" s="112" t="inlineStr">
        <is>
          <t>-0,52%</t>
        </is>
      </c>
      <c r="DA139" s="113" t="inlineStr">
        <is>
          <t>3,05x</t>
        </is>
      </c>
      <c r="DB139" s="114" t="inlineStr">
        <is>
          <t>74</t>
        </is>
      </c>
      <c r="DC139" s="115" t="inlineStr">
        <is>
          <t>3,29x</t>
        </is>
      </c>
      <c r="DD139" s="116" t="inlineStr">
        <is>
          <t>70</t>
        </is>
      </c>
      <c r="DE139" s="117" t="inlineStr">
        <is>
          <t>5,35x</t>
        </is>
      </c>
      <c r="DF139" s="118" t="inlineStr">
        <is>
          <t>81</t>
        </is>
      </c>
      <c r="DG139" s="119" t="inlineStr">
        <is>
          <t>0,75x</t>
        </is>
      </c>
      <c r="DH139" s="120" t="inlineStr">
        <is>
          <t>44</t>
        </is>
      </c>
      <c r="DI139" s="121" t="inlineStr">
        <is>
          <t/>
        </is>
      </c>
      <c r="DJ139" s="122" t="inlineStr">
        <is>
          <t/>
        </is>
      </c>
      <c r="DK139" s="123" t="inlineStr">
        <is>
          <t>3,29x</t>
        </is>
      </c>
      <c r="DL139" s="124" t="inlineStr">
        <is>
          <t>72</t>
        </is>
      </c>
      <c r="DM139" s="125" t="inlineStr">
        <is>
          <t>1.932</t>
        </is>
      </c>
      <c r="DN139" s="126" t="inlineStr">
        <is>
          <t>265</t>
        </is>
      </c>
      <c r="DO139" s="127" t="inlineStr">
        <is>
          <t>15,90%</t>
        </is>
      </c>
      <c r="DP139" s="128" t="inlineStr">
        <is>
          <t/>
        </is>
      </c>
      <c r="DQ139" s="129" t="inlineStr">
        <is>
          <t/>
        </is>
      </c>
      <c r="DR139" s="130" t="inlineStr">
        <is>
          <t/>
        </is>
      </c>
      <c r="DS139" s="131" t="inlineStr">
        <is>
          <t>27</t>
        </is>
      </c>
      <c r="DT139" s="132" t="inlineStr">
        <is>
          <t>0</t>
        </is>
      </c>
      <c r="DU139" s="133" t="inlineStr">
        <is>
          <t>0,00%</t>
        </is>
      </c>
      <c r="DV139" s="134" t="inlineStr">
        <is>
          <t>1.229</t>
        </is>
      </c>
      <c r="DW139" s="135" t="inlineStr">
        <is>
          <t>2</t>
        </is>
      </c>
      <c r="DX139" s="136" t="inlineStr">
        <is>
          <t>0,16%</t>
        </is>
      </c>
      <c r="DY139" s="137" t="inlineStr">
        <is>
          <t>PitchBook Research</t>
        </is>
      </c>
      <c r="DZ139" s="785">
        <f>HYPERLINK("https://my.pitchbook.com?c=56565-55", "View company online")</f>
      </c>
    </row>
    <row r="140">
      <c r="A140" s="139" t="inlineStr">
        <is>
          <t>65823-67</t>
        </is>
      </c>
      <c r="B140" s="140" t="inlineStr">
        <is>
          <t>Vade Secure</t>
        </is>
      </c>
      <c r="C140" s="141" t="inlineStr">
        <is>
          <t/>
        </is>
      </c>
      <c r="D140" s="142" t="inlineStr">
        <is>
          <t/>
        </is>
      </c>
      <c r="E140" s="143" t="inlineStr">
        <is>
          <t>65823-67</t>
        </is>
      </c>
      <c r="F140" s="144" t="inlineStr">
        <is>
          <t>Developer of e-mail security software intended to make email safe, simple, and convenient. The company's e-mail security software protects messaging systems against all unwanted messages like spams, scams, phishing, trojan, viruses or gray-mails, enabling enterprises to keep users and network safe.</t>
        </is>
      </c>
      <c r="G140" s="145" t="inlineStr">
        <is>
          <t>Information Technology</t>
        </is>
      </c>
      <c r="H140" s="146" t="inlineStr">
        <is>
          <t>Software</t>
        </is>
      </c>
      <c r="I140" s="147" t="inlineStr">
        <is>
          <t>Network Management Software</t>
        </is>
      </c>
      <c r="J140" s="148" t="inlineStr">
        <is>
          <t>Network Management Software*</t>
        </is>
      </c>
      <c r="K140" s="149" t="inlineStr">
        <is>
          <t>Cybersecurity, SaaS</t>
        </is>
      </c>
      <c r="L140" s="150" t="inlineStr">
        <is>
          <t>Venture Capital-Backed</t>
        </is>
      </c>
      <c r="M140" s="151" t="n">
        <v>10.0</v>
      </c>
      <c r="N140" s="152" t="inlineStr">
        <is>
          <t>Profitable</t>
        </is>
      </c>
      <c r="O140" s="153" t="inlineStr">
        <is>
          <t>Acquired/Merged (Operating Subsidiary)</t>
        </is>
      </c>
      <c r="P140" s="154" t="inlineStr">
        <is>
          <t>Venture Capital, M&amp;A</t>
        </is>
      </c>
      <c r="Q140" s="155" t="inlineStr">
        <is>
          <t>www.vadesecure.com</t>
        </is>
      </c>
      <c r="R140" s="156" t="n">
        <v>30.0</v>
      </c>
      <c r="S140" s="157" t="inlineStr">
        <is>
          <t/>
        </is>
      </c>
      <c r="T140" s="158" t="inlineStr">
        <is>
          <t/>
        </is>
      </c>
      <c r="U140" s="159" t="n">
        <v>2004.0</v>
      </c>
      <c r="V140" s="160" t="inlineStr">
        <is>
          <t>LTGR</t>
        </is>
      </c>
      <c r="W140" s="161" t="inlineStr">
        <is>
          <t/>
        </is>
      </c>
      <c r="X140" s="162" t="inlineStr">
        <is>
          <t/>
        </is>
      </c>
      <c r="Y140" s="163" t="n">
        <v>4.30884</v>
      </c>
      <c r="Z140" s="164" t="n">
        <v>0.00919</v>
      </c>
      <c r="AA140" s="165" t="inlineStr">
        <is>
          <t/>
        </is>
      </c>
      <c r="AB140" s="166" t="inlineStr">
        <is>
          <t/>
        </is>
      </c>
      <c r="AC140" s="167" t="n">
        <v>0.33074</v>
      </c>
      <c r="AD140" s="168" t="inlineStr">
        <is>
          <t>FY 2015</t>
        </is>
      </c>
      <c r="AE140" s="169" t="inlineStr">
        <is>
          <t>77501-62P</t>
        </is>
      </c>
      <c r="AF140" s="170" t="inlineStr">
        <is>
          <t>Georges Lotigier</t>
        </is>
      </c>
      <c r="AG140" s="171" t="inlineStr">
        <is>
          <t>President &amp; Chief Executive Officer</t>
        </is>
      </c>
      <c r="AH140" s="172" t="inlineStr">
        <is>
          <t>georges.lotigier@vade-retro.com</t>
        </is>
      </c>
      <c r="AI140" s="173" t="inlineStr">
        <is>
          <t>+33 (0)3 20 68 21 24</t>
        </is>
      </c>
      <c r="AJ140" s="174" t="inlineStr">
        <is>
          <t>Paris, France</t>
        </is>
      </c>
      <c r="AK140" s="175" t="inlineStr">
        <is>
          <t>37 rue de Liège</t>
        </is>
      </c>
      <c r="AL140" s="176" t="inlineStr">
        <is>
          <t/>
        </is>
      </c>
      <c r="AM140" s="177" t="inlineStr">
        <is>
          <t>Paris</t>
        </is>
      </c>
      <c r="AN140" s="178" t="inlineStr">
        <is>
          <t/>
        </is>
      </c>
      <c r="AO140" s="179" t="inlineStr">
        <is>
          <t>75008</t>
        </is>
      </c>
      <c r="AP140" s="180" t="inlineStr">
        <is>
          <t>France</t>
        </is>
      </c>
      <c r="AQ140" s="181" t="inlineStr">
        <is>
          <t>+33 (0)3 59 61 66 50</t>
        </is>
      </c>
      <c r="AR140" s="182" t="inlineStr">
        <is>
          <t/>
        </is>
      </c>
      <c r="AS140" s="183" t="inlineStr">
        <is>
          <t/>
        </is>
      </c>
      <c r="AT140" s="184" t="inlineStr">
        <is>
          <t>Europe</t>
        </is>
      </c>
      <c r="AU140" s="185" t="inlineStr">
        <is>
          <t>Western Europe</t>
        </is>
      </c>
      <c r="AV140" s="186" t="inlineStr">
        <is>
          <t>The company raised EUR 10 million of venture funding in a round led by ISAI on September 7, 2017. Other undisclosed investors also participated in the round. The funds will be used to in R &amp; D with the first target of interfacing its solution with Office 365, as well to expand in Japan and the United States.</t>
        </is>
      </c>
      <c r="AW140" s="187" t="inlineStr">
        <is>
          <t>Impact USA, ISAI</t>
        </is>
      </c>
      <c r="AX140" s="188" t="n">
        <v>2.0</v>
      </c>
      <c r="AY140" s="189" t="inlineStr">
        <is>
          <t>LTGR</t>
        </is>
      </c>
      <c r="AZ140" s="190" t="inlineStr">
        <is>
          <t/>
        </is>
      </c>
      <c r="BA140" s="191" t="inlineStr">
        <is>
          <t/>
        </is>
      </c>
      <c r="BB140" s="192" t="inlineStr">
        <is>
          <t>Impact USA (www.impact-north-america.com), ISAI (www.isai.fr)</t>
        </is>
      </c>
      <c r="BC140" s="193" t="inlineStr">
        <is>
          <t/>
        </is>
      </c>
      <c r="BD140" s="194" t="inlineStr">
        <is>
          <t/>
        </is>
      </c>
      <c r="BE140" s="195" t="inlineStr">
        <is>
          <t/>
        </is>
      </c>
      <c r="BF140" s="196" t="inlineStr">
        <is>
          <t/>
        </is>
      </c>
      <c r="BG140" s="197" t="n">
        <v>41480.0</v>
      </c>
      <c r="BH140" s="198" t="inlineStr">
        <is>
          <t/>
        </is>
      </c>
      <c r="BI140" s="199" t="inlineStr">
        <is>
          <t/>
        </is>
      </c>
      <c r="BJ140" s="200" t="inlineStr">
        <is>
          <t/>
        </is>
      </c>
      <c r="BK140" s="201" t="inlineStr">
        <is>
          <t/>
        </is>
      </c>
      <c r="BL140" s="202" t="inlineStr">
        <is>
          <t>Merger/Acquisition</t>
        </is>
      </c>
      <c r="BM140" s="203" t="inlineStr">
        <is>
          <t/>
        </is>
      </c>
      <c r="BN140" s="204" t="inlineStr">
        <is>
          <t/>
        </is>
      </c>
      <c r="BO140" s="205" t="inlineStr">
        <is>
          <t>Corporate</t>
        </is>
      </c>
      <c r="BP140" s="206" t="inlineStr">
        <is>
          <t/>
        </is>
      </c>
      <c r="BQ140" s="207" t="inlineStr">
        <is>
          <t/>
        </is>
      </c>
      <c r="BR140" s="208" t="inlineStr">
        <is>
          <t/>
        </is>
      </c>
      <c r="BS140" s="209" t="inlineStr">
        <is>
          <t>Completed</t>
        </is>
      </c>
      <c r="BT140" s="210" t="n">
        <v>42985.0</v>
      </c>
      <c r="BU140" s="211" t="n">
        <v>10.0</v>
      </c>
      <c r="BV140" s="212" t="inlineStr">
        <is>
          <t>Actual</t>
        </is>
      </c>
      <c r="BW140" s="213" t="inlineStr">
        <is>
          <t/>
        </is>
      </c>
      <c r="BX140" s="214" t="inlineStr">
        <is>
          <t/>
        </is>
      </c>
      <c r="BY140" s="215" t="inlineStr">
        <is>
          <t>Later Stage VC</t>
        </is>
      </c>
      <c r="BZ140" s="216" t="inlineStr">
        <is>
          <t/>
        </is>
      </c>
      <c r="CA140" s="217" t="inlineStr">
        <is>
          <t/>
        </is>
      </c>
      <c r="CB140" s="218" t="inlineStr">
        <is>
          <t>Venture Capital</t>
        </is>
      </c>
      <c r="CC140" s="219" t="inlineStr">
        <is>
          <t/>
        </is>
      </c>
      <c r="CD140" s="220" t="inlineStr">
        <is>
          <t/>
        </is>
      </c>
      <c r="CE140" s="221" t="inlineStr">
        <is>
          <t/>
        </is>
      </c>
      <c r="CF140" s="222" t="inlineStr">
        <is>
          <t>Completed</t>
        </is>
      </c>
      <c r="CG140" s="223" t="inlineStr">
        <is>
          <t>-2,88%</t>
        </is>
      </c>
      <c r="CH140" s="224" t="inlineStr">
        <is>
          <t>7</t>
        </is>
      </c>
      <c r="CI140" s="225" t="inlineStr">
        <is>
          <t>-0,03%</t>
        </is>
      </c>
      <c r="CJ140" s="226" t="inlineStr">
        <is>
          <t>-1,02%</t>
        </is>
      </c>
      <c r="CK140" s="227" t="inlineStr">
        <is>
          <t>-5,95%</t>
        </is>
      </c>
      <c r="CL140" s="228" t="inlineStr">
        <is>
          <t>7</t>
        </is>
      </c>
      <c r="CM140" s="229" t="inlineStr">
        <is>
          <t>0,20%</t>
        </is>
      </c>
      <c r="CN140" s="230" t="inlineStr">
        <is>
          <t>71</t>
        </is>
      </c>
      <c r="CO140" s="231" t="inlineStr">
        <is>
          <t>-11,75%</t>
        </is>
      </c>
      <c r="CP140" s="232" t="inlineStr">
        <is>
          <t>11</t>
        </is>
      </c>
      <c r="CQ140" s="233" t="inlineStr">
        <is>
          <t>-0,15%</t>
        </is>
      </c>
      <c r="CR140" s="234" t="inlineStr">
        <is>
          <t>19</t>
        </is>
      </c>
      <c r="CS140" s="235" t="inlineStr">
        <is>
          <t>0,00%</t>
        </is>
      </c>
      <c r="CT140" s="236" t="inlineStr">
        <is>
          <t>18</t>
        </is>
      </c>
      <c r="CU140" s="237" t="inlineStr">
        <is>
          <t>0,39%</t>
        </is>
      </c>
      <c r="CV140" s="238" t="inlineStr">
        <is>
          <t>87</t>
        </is>
      </c>
      <c r="CW140" s="239" t="inlineStr">
        <is>
          <t>5,21x</t>
        </is>
      </c>
      <c r="CX140" s="240" t="inlineStr">
        <is>
          <t>80</t>
        </is>
      </c>
      <c r="CY140" s="241" t="inlineStr">
        <is>
          <t>-0,01x</t>
        </is>
      </c>
      <c r="CZ140" s="242" t="inlineStr">
        <is>
          <t>-0,23%</t>
        </is>
      </c>
      <c r="DA140" s="243" t="inlineStr">
        <is>
          <t>8,69x</t>
        </is>
      </c>
      <c r="DB140" s="244" t="inlineStr">
        <is>
          <t>88</t>
        </is>
      </c>
      <c r="DC140" s="245" t="inlineStr">
        <is>
          <t>1,73x</t>
        </is>
      </c>
      <c r="DD140" s="246" t="inlineStr">
        <is>
          <t>59</t>
        </is>
      </c>
      <c r="DE140" s="247" t="inlineStr">
        <is>
          <t>0,94x</t>
        </is>
      </c>
      <c r="DF140" s="248" t="inlineStr">
        <is>
          <t>49</t>
        </is>
      </c>
      <c r="DG140" s="249" t="inlineStr">
        <is>
          <t>16,44x</t>
        </is>
      </c>
      <c r="DH140" s="250" t="inlineStr">
        <is>
          <t>92</t>
        </is>
      </c>
      <c r="DI140" s="251" t="inlineStr">
        <is>
          <t>0,06x</t>
        </is>
      </c>
      <c r="DJ140" s="252" t="inlineStr">
        <is>
          <t>9</t>
        </is>
      </c>
      <c r="DK140" s="253" t="inlineStr">
        <is>
          <t>3,40x</t>
        </is>
      </c>
      <c r="DL140" s="254" t="inlineStr">
        <is>
          <t>73</t>
        </is>
      </c>
      <c r="DM140" s="255" t="inlineStr">
        <is>
          <t>343</t>
        </is>
      </c>
      <c r="DN140" s="256" t="inlineStr">
        <is>
          <t>30</t>
        </is>
      </c>
      <c r="DO140" s="257" t="inlineStr">
        <is>
          <t>9,58%</t>
        </is>
      </c>
      <c r="DP140" s="258" t="inlineStr">
        <is>
          <t>44</t>
        </is>
      </c>
      <c r="DQ140" s="259" t="inlineStr">
        <is>
          <t>0</t>
        </is>
      </c>
      <c r="DR140" s="260" t="inlineStr">
        <is>
          <t>0,00%</t>
        </is>
      </c>
      <c r="DS140" s="261" t="inlineStr">
        <is>
          <t>592</t>
        </is>
      </c>
      <c r="DT140" s="262" t="inlineStr">
        <is>
          <t>-1</t>
        </is>
      </c>
      <c r="DU140" s="263" t="inlineStr">
        <is>
          <t>-0,17%</t>
        </is>
      </c>
      <c r="DV140" s="264" t="inlineStr">
        <is>
          <t>1.267</t>
        </is>
      </c>
      <c r="DW140" s="265" t="inlineStr">
        <is>
          <t>4</t>
        </is>
      </c>
      <c r="DX140" s="266" t="inlineStr">
        <is>
          <t>0,32%</t>
        </is>
      </c>
      <c r="DY140" s="267" t="inlineStr">
        <is>
          <t>PitchBook Research</t>
        </is>
      </c>
      <c r="DZ140" s="786">
        <f>HYPERLINK("https://my.pitchbook.com?c=65823-67", "View company online")</f>
      </c>
    </row>
    <row r="141">
      <c r="A141" s="9" t="inlineStr">
        <is>
          <t>61512-49</t>
        </is>
      </c>
      <c r="B141" s="10" t="inlineStr">
        <is>
          <t>enModus</t>
        </is>
      </c>
      <c r="C141" s="11" t="inlineStr">
        <is>
          <t/>
        </is>
      </c>
      <c r="D141" s="12" t="inlineStr">
        <is>
          <t/>
        </is>
      </c>
      <c r="E141" s="13" t="inlineStr">
        <is>
          <t>61512-49</t>
        </is>
      </c>
      <c r="F141" s="14" t="inlineStr">
        <is>
          <t>Provider of smart building products designed to leverage installed infrastructures. The company's smart building products utilize highly granular monitoring to offer lighting, energy monitoring and compliance services, building occupancy use and traffic services as well as indoor location services through a cloud-based platform, providing building owners with new generation of value added services to monitor and reduce power consumption.</t>
        </is>
      </c>
      <c r="G141" s="15" t="inlineStr">
        <is>
          <t>Consumer Products and Services (B2C)</t>
        </is>
      </c>
      <c r="H141" s="16" t="inlineStr">
        <is>
          <t>Consumer Durables</t>
        </is>
      </c>
      <c r="I141" s="17" t="inlineStr">
        <is>
          <t>Electronics (B2C)</t>
        </is>
      </c>
      <c r="J141" s="18" t="inlineStr">
        <is>
          <t>Electronics (B2C)*; Other Communications and Networking</t>
        </is>
      </c>
      <c r="K141" s="19" t="inlineStr">
        <is>
          <t>Internet of Things, LOHAS &amp; Wellness, SaaS</t>
        </is>
      </c>
      <c r="L141" s="20" t="inlineStr">
        <is>
          <t>Venture Capital-Backed</t>
        </is>
      </c>
      <c r="M141" s="21" t="n">
        <v>10.0</v>
      </c>
      <c r="N141" s="22" t="inlineStr">
        <is>
          <t>Generating Revenue</t>
        </is>
      </c>
      <c r="O141" s="23" t="inlineStr">
        <is>
          <t>Privately Held (backing)</t>
        </is>
      </c>
      <c r="P141" s="24" t="inlineStr">
        <is>
          <t>Venture Capital</t>
        </is>
      </c>
      <c r="Q141" s="25" t="inlineStr">
        <is>
          <t>www.enmodus.com</t>
        </is>
      </c>
      <c r="R141" s="26" t="n">
        <v>16.0</v>
      </c>
      <c r="S141" s="27" t="inlineStr">
        <is>
          <t/>
        </is>
      </c>
      <c r="T141" s="28" t="inlineStr">
        <is>
          <t/>
        </is>
      </c>
      <c r="U141" s="29" t="n">
        <v>2010.0</v>
      </c>
      <c r="V141" s="30" t="inlineStr">
        <is>
          <t/>
        </is>
      </c>
      <c r="W141" s="31" t="inlineStr">
        <is>
          <t/>
        </is>
      </c>
      <c r="X141" s="32" t="inlineStr">
        <is>
          <t/>
        </is>
      </c>
      <c r="Y141" s="33" t="inlineStr">
        <is>
          <t/>
        </is>
      </c>
      <c r="Z141" s="34" t="inlineStr">
        <is>
          <t/>
        </is>
      </c>
      <c r="AA141" s="35" t="inlineStr">
        <is>
          <t/>
        </is>
      </c>
      <c r="AB141" s="36" t="inlineStr">
        <is>
          <t/>
        </is>
      </c>
      <c r="AC141" s="37" t="inlineStr">
        <is>
          <t/>
        </is>
      </c>
      <c r="AD141" s="38" t="inlineStr">
        <is>
          <t/>
        </is>
      </c>
      <c r="AE141" s="39" t="inlineStr">
        <is>
          <t>61595-38P</t>
        </is>
      </c>
      <c r="AF141" s="40" t="inlineStr">
        <is>
          <t>Andy Heaton</t>
        </is>
      </c>
      <c r="AG141" s="41" t="inlineStr">
        <is>
          <t>Co-Founder, Board Member &amp; Chief Executive Officer</t>
        </is>
      </c>
      <c r="AH141" s="42" t="inlineStr">
        <is>
          <t>andy.heaton@enmodus.com</t>
        </is>
      </c>
      <c r="AI141" s="43" t="inlineStr">
        <is>
          <t>+44 (0)12 9162 5567</t>
        </is>
      </c>
      <c r="AJ141" s="44" t="inlineStr">
        <is>
          <t>Chepstow, United Kingdom</t>
        </is>
      </c>
      <c r="AK141" s="45" t="inlineStr">
        <is>
          <t>1st floor, Cas-Gwent Chambers</t>
        </is>
      </c>
      <c r="AL141" s="46" t="inlineStr">
        <is>
          <t>Welsh Street</t>
        </is>
      </c>
      <c r="AM141" s="47" t="inlineStr">
        <is>
          <t>Chepstow</t>
        </is>
      </c>
      <c r="AN141" s="48" t="inlineStr">
        <is>
          <t>Wales</t>
        </is>
      </c>
      <c r="AO141" s="49" t="inlineStr">
        <is>
          <t>NP16 5XG</t>
        </is>
      </c>
      <c r="AP141" s="50" t="inlineStr">
        <is>
          <t>United Kingdom</t>
        </is>
      </c>
      <c r="AQ141" s="51" t="inlineStr">
        <is>
          <t>+44 (0)12 9162 5567</t>
        </is>
      </c>
      <c r="AR141" s="52" t="inlineStr">
        <is>
          <t/>
        </is>
      </c>
      <c r="AS141" s="53" t="inlineStr">
        <is>
          <t>info@enmodus.com</t>
        </is>
      </c>
      <c r="AT141" s="54" t="inlineStr">
        <is>
          <t>Europe</t>
        </is>
      </c>
      <c r="AU141" s="55" t="inlineStr">
        <is>
          <t>Western Europe</t>
        </is>
      </c>
      <c r="AV141" s="56" t="inlineStr">
        <is>
          <t>The company raised GBP 3 million of Series A venture funding from Intu Properties, Finance Wales, Oxygen House and Breed Reply on July 12, 2017. The funds will be used to rapidly grow customer base across multiple regions.</t>
        </is>
      </c>
      <c r="AW141" s="57" t="inlineStr">
        <is>
          <t>Andromeda Capital, Breed Reply, Development Bank of Wales, Individual Investor, Innovate UK, Intu Properties, UK Department of Energy and Climate Change</t>
        </is>
      </c>
      <c r="AX141" s="58" t="n">
        <v>7.0</v>
      </c>
      <c r="AY141" s="59" t="inlineStr">
        <is>
          <t/>
        </is>
      </c>
      <c r="AZ141" s="60" t="inlineStr">
        <is>
          <t/>
        </is>
      </c>
      <c r="BA141" s="61" t="inlineStr">
        <is>
          <t/>
        </is>
      </c>
      <c r="BB141" s="62" t="inlineStr">
        <is>
          <t>Andromeda Capital (www.andromedacapital.co.uk), Breed Reply (www.breedreply.com), Development Bank of Wales (www.developmentbank.wales), Innovate UK (www.gov.uk), Intu Properties (www.intugroup.co.uk)</t>
        </is>
      </c>
      <c r="BC141" s="63" t="inlineStr">
        <is>
          <t/>
        </is>
      </c>
      <c r="BD141" s="64" t="inlineStr">
        <is>
          <t/>
        </is>
      </c>
      <c r="BE141" s="65" t="inlineStr">
        <is>
          <t>Duet Partners (Advisor: General), Bailey Fisher Executive Search (Advisor: General), Peloton Leadership Network (Consulting)</t>
        </is>
      </c>
      <c r="BF141" s="66" t="inlineStr">
        <is>
          <t>Veale Wasbrough Vizards (Legal Advisor), Geldards (Legal Advisor), Greenaway Scott (Legal Advisor), Gowling WLG International (Legal Advisor)</t>
        </is>
      </c>
      <c r="BG141" s="67" t="n">
        <v>40210.0</v>
      </c>
      <c r="BH141" s="68" t="n">
        <v>0.17</v>
      </c>
      <c r="BI141" s="69" t="inlineStr">
        <is>
          <t>Actual</t>
        </is>
      </c>
      <c r="BJ141" s="70" t="inlineStr">
        <is>
          <t/>
        </is>
      </c>
      <c r="BK141" s="71" t="inlineStr">
        <is>
          <t/>
        </is>
      </c>
      <c r="BL141" s="72" t="inlineStr">
        <is>
          <t>Seed Round</t>
        </is>
      </c>
      <c r="BM141" s="73" t="inlineStr">
        <is>
          <t>Seed</t>
        </is>
      </c>
      <c r="BN141" s="74" t="inlineStr">
        <is>
          <t/>
        </is>
      </c>
      <c r="BO141" s="75" t="inlineStr">
        <is>
          <t>Venture Capital</t>
        </is>
      </c>
      <c r="BP141" s="76" t="inlineStr">
        <is>
          <t/>
        </is>
      </c>
      <c r="BQ141" s="77" t="inlineStr">
        <is>
          <t/>
        </is>
      </c>
      <c r="BR141" s="78" t="inlineStr">
        <is>
          <t/>
        </is>
      </c>
      <c r="BS141" s="79" t="inlineStr">
        <is>
          <t>Completed</t>
        </is>
      </c>
      <c r="BT141" s="80" t="n">
        <v>42928.0</v>
      </c>
      <c r="BU141" s="81" t="n">
        <v>3.39</v>
      </c>
      <c r="BV141" s="82" t="inlineStr">
        <is>
          <t>Actual</t>
        </is>
      </c>
      <c r="BW141" s="83" t="inlineStr">
        <is>
          <t/>
        </is>
      </c>
      <c r="BX141" s="84" t="inlineStr">
        <is>
          <t/>
        </is>
      </c>
      <c r="BY141" s="85" t="inlineStr">
        <is>
          <t>Later Stage VC</t>
        </is>
      </c>
      <c r="BZ141" s="86" t="inlineStr">
        <is>
          <t>Series A</t>
        </is>
      </c>
      <c r="CA141" s="87" t="inlineStr">
        <is>
          <t/>
        </is>
      </c>
      <c r="CB141" s="88" t="inlineStr">
        <is>
          <t>Venture Capital</t>
        </is>
      </c>
      <c r="CC141" s="89" t="inlineStr">
        <is>
          <t/>
        </is>
      </c>
      <c r="CD141" s="90" t="inlineStr">
        <is>
          <t/>
        </is>
      </c>
      <c r="CE141" s="91" t="inlineStr">
        <is>
          <t/>
        </is>
      </c>
      <c r="CF141" s="92" t="inlineStr">
        <is>
          <t>Completed</t>
        </is>
      </c>
      <c r="CG141" s="93" t="inlineStr">
        <is>
          <t>0,47%</t>
        </is>
      </c>
      <c r="CH141" s="94" t="inlineStr">
        <is>
          <t>91</t>
        </is>
      </c>
      <c r="CI141" s="95" t="inlineStr">
        <is>
          <t>0,03%</t>
        </is>
      </c>
      <c r="CJ141" s="96" t="inlineStr">
        <is>
          <t>6,43%</t>
        </is>
      </c>
      <c r="CK141" s="97" t="inlineStr">
        <is>
          <t>0,00%</t>
        </is>
      </c>
      <c r="CL141" s="98" t="inlineStr">
        <is>
          <t>28</t>
        </is>
      </c>
      <c r="CM141" s="99" t="inlineStr">
        <is>
          <t>1,41%</t>
        </is>
      </c>
      <c r="CN141" s="100" t="inlineStr">
        <is>
          <t>97</t>
        </is>
      </c>
      <c r="CO141" s="101" t="inlineStr">
        <is>
          <t>0,00%</t>
        </is>
      </c>
      <c r="CP141" s="102" t="inlineStr">
        <is>
          <t>37</t>
        </is>
      </c>
      <c r="CQ141" s="103" t="inlineStr">
        <is>
          <t>0,00%</t>
        </is>
      </c>
      <c r="CR141" s="104" t="inlineStr">
        <is>
          <t>20</t>
        </is>
      </c>
      <c r="CS141" s="105" t="inlineStr">
        <is>
          <t/>
        </is>
      </c>
      <c r="CT141" s="106" t="inlineStr">
        <is>
          <t/>
        </is>
      </c>
      <c r="CU141" s="107" t="inlineStr">
        <is>
          <t>1,41%</t>
        </is>
      </c>
      <c r="CV141" s="108" t="inlineStr">
        <is>
          <t>98</t>
        </is>
      </c>
      <c r="CW141" s="109" t="inlineStr">
        <is>
          <t>0,59x</t>
        </is>
      </c>
      <c r="CX141" s="110" t="inlineStr">
        <is>
          <t>37</t>
        </is>
      </c>
      <c r="CY141" s="111" t="inlineStr">
        <is>
          <t>0,01x</t>
        </is>
      </c>
      <c r="CZ141" s="112" t="inlineStr">
        <is>
          <t>1,34%</t>
        </is>
      </c>
      <c r="DA141" s="113" t="inlineStr">
        <is>
          <t>1,35x</t>
        </is>
      </c>
      <c r="DB141" s="114" t="inlineStr">
        <is>
          <t>58</t>
        </is>
      </c>
      <c r="DC141" s="115" t="inlineStr">
        <is>
          <t>0,36x</t>
        </is>
      </c>
      <c r="DD141" s="116" t="inlineStr">
        <is>
          <t>30</t>
        </is>
      </c>
      <c r="DE141" s="117" t="inlineStr">
        <is>
          <t>0,18x</t>
        </is>
      </c>
      <c r="DF141" s="118" t="inlineStr">
        <is>
          <t>10</t>
        </is>
      </c>
      <c r="DG141" s="119" t="inlineStr">
        <is>
          <t>2,53x</t>
        </is>
      </c>
      <c r="DH141" s="120" t="inlineStr">
        <is>
          <t>69</t>
        </is>
      </c>
      <c r="DI141" s="121" t="inlineStr">
        <is>
          <t/>
        </is>
      </c>
      <c r="DJ141" s="122" t="inlineStr">
        <is>
          <t/>
        </is>
      </c>
      <c r="DK141" s="123" t="inlineStr">
        <is>
          <t>0,36x</t>
        </is>
      </c>
      <c r="DL141" s="124" t="inlineStr">
        <is>
          <t>33</t>
        </is>
      </c>
      <c r="DM141" s="125" t="inlineStr">
        <is>
          <t>112</t>
        </is>
      </c>
      <c r="DN141" s="126" t="inlineStr">
        <is>
          <t>-107</t>
        </is>
      </c>
      <c r="DO141" s="127" t="inlineStr">
        <is>
          <t>-48,86%</t>
        </is>
      </c>
      <c r="DP141" s="128" t="inlineStr">
        <is>
          <t/>
        </is>
      </c>
      <c r="DQ141" s="129" t="inlineStr">
        <is>
          <t/>
        </is>
      </c>
      <c r="DR141" s="130" t="inlineStr">
        <is>
          <t/>
        </is>
      </c>
      <c r="DS141" s="131" t="inlineStr">
        <is>
          <t>90</t>
        </is>
      </c>
      <c r="DT141" s="132" t="inlineStr">
        <is>
          <t>1</t>
        </is>
      </c>
      <c r="DU141" s="133" t="inlineStr">
        <is>
          <t>1,12%</t>
        </is>
      </c>
      <c r="DV141" s="134" t="inlineStr">
        <is>
          <t>133</t>
        </is>
      </c>
      <c r="DW141" s="135" t="inlineStr">
        <is>
          <t>2</t>
        </is>
      </c>
      <c r="DX141" s="136" t="inlineStr">
        <is>
          <t>1,53%</t>
        </is>
      </c>
      <c r="DY141" s="137" t="inlineStr">
        <is>
          <t>PitchBook Research</t>
        </is>
      </c>
      <c r="DZ141" s="785">
        <f>HYPERLINK("https://my.pitchbook.com?c=61512-49", "View company online")</f>
      </c>
    </row>
    <row r="142">
      <c r="A142" s="139" t="inlineStr">
        <is>
          <t>60489-37</t>
        </is>
      </c>
      <c r="B142" s="140" t="inlineStr">
        <is>
          <t>Warwick Audio Technologies</t>
        </is>
      </c>
      <c r="C142" s="141" t="inlineStr">
        <is>
          <t/>
        </is>
      </c>
      <c r="D142" s="142" t="inlineStr">
        <is>
          <t/>
        </is>
      </c>
      <c r="E142" s="143" t="inlineStr">
        <is>
          <t>60489-37</t>
        </is>
      </c>
      <c r="F142" s="144" t="inlineStr">
        <is>
          <t>Developer of high precision electrostatic laminate audio transducers (HPELs) designed to revolutionise the in-car audio experience. The company's HPEL's combine the ultra-high quality, low distortion features of electrostatics with unique physical and economic characteristics, enabling brand customers to offer true Hi Resolution Audio reproduction whilst facilitating innovative design.</t>
        </is>
      </c>
      <c r="G142" s="145" t="inlineStr">
        <is>
          <t>Consumer Products and Services (B2C)</t>
        </is>
      </c>
      <c r="H142" s="146" t="inlineStr">
        <is>
          <t>Consumer Durables</t>
        </is>
      </c>
      <c r="I142" s="147" t="inlineStr">
        <is>
          <t>Electronics (B2C)</t>
        </is>
      </c>
      <c r="J142" s="148" t="inlineStr">
        <is>
          <t>Electronics (B2C)*</t>
        </is>
      </c>
      <c r="K142" s="149" t="inlineStr">
        <is>
          <t>AudioTech</t>
        </is>
      </c>
      <c r="L142" s="150" t="inlineStr">
        <is>
          <t>Venture Capital-Backed</t>
        </is>
      </c>
      <c r="M142" s="151" t="n">
        <v>9.85</v>
      </c>
      <c r="N142" s="152" t="inlineStr">
        <is>
          <t>Generating Revenue</t>
        </is>
      </c>
      <c r="O142" s="153" t="inlineStr">
        <is>
          <t>Privately Held (backing)</t>
        </is>
      </c>
      <c r="P142" s="154" t="inlineStr">
        <is>
          <t>Venture Capital</t>
        </is>
      </c>
      <c r="Q142" s="155" t="inlineStr">
        <is>
          <t>www.warwickaudiotech.com</t>
        </is>
      </c>
      <c r="R142" s="156" t="inlineStr">
        <is>
          <t/>
        </is>
      </c>
      <c r="S142" s="157" t="inlineStr">
        <is>
          <t/>
        </is>
      </c>
      <c r="T142" s="158" t="inlineStr">
        <is>
          <t/>
        </is>
      </c>
      <c r="U142" s="159" t="n">
        <v>2002.0</v>
      </c>
      <c r="V142" s="160" t="inlineStr">
        <is>
          <t/>
        </is>
      </c>
      <c r="W142" s="161" t="inlineStr">
        <is>
          <t/>
        </is>
      </c>
      <c r="X142" s="162" t="inlineStr">
        <is>
          <t/>
        </is>
      </c>
      <c r="Y142" s="163" t="inlineStr">
        <is>
          <t/>
        </is>
      </c>
      <c r="Z142" s="164" t="inlineStr">
        <is>
          <t/>
        </is>
      </c>
      <c r="AA142" s="165" t="inlineStr">
        <is>
          <t/>
        </is>
      </c>
      <c r="AB142" s="166" t="inlineStr">
        <is>
          <t/>
        </is>
      </c>
      <c r="AC142" s="167" t="inlineStr">
        <is>
          <t/>
        </is>
      </c>
      <c r="AD142" s="168" t="inlineStr">
        <is>
          <t/>
        </is>
      </c>
      <c r="AE142" s="169" t="inlineStr">
        <is>
          <t>57028-60P</t>
        </is>
      </c>
      <c r="AF142" s="170" t="inlineStr">
        <is>
          <t>Derek Mottershead</t>
        </is>
      </c>
      <c r="AG142" s="171" t="inlineStr">
        <is>
          <t>Non Executive Director</t>
        </is>
      </c>
      <c r="AH142" s="172" t="inlineStr">
        <is>
          <t>d.mottershead@warwickaudiotech.com</t>
        </is>
      </c>
      <c r="AI142" s="173" t="inlineStr">
        <is>
          <t>+44 (0)15 6462 7540</t>
        </is>
      </c>
      <c r="AJ142" s="174" t="inlineStr">
        <is>
          <t>Warwickshire, United Kingdom</t>
        </is>
      </c>
      <c r="AK142" s="175" t="inlineStr">
        <is>
          <t>Forward House, 17 High Street</t>
        </is>
      </c>
      <c r="AL142" s="176" t="inlineStr">
        <is>
          <t>Henley-in-Arden</t>
        </is>
      </c>
      <c r="AM142" s="177" t="inlineStr">
        <is>
          <t>Warwickshire</t>
        </is>
      </c>
      <c r="AN142" s="178" t="inlineStr">
        <is>
          <t>England</t>
        </is>
      </c>
      <c r="AO142" s="179" t="inlineStr">
        <is>
          <t>B95 5AA</t>
        </is>
      </c>
      <c r="AP142" s="180" t="inlineStr">
        <is>
          <t>United Kingdom</t>
        </is>
      </c>
      <c r="AQ142" s="181" t="inlineStr">
        <is>
          <t>+44 (0)15 6462 7540</t>
        </is>
      </c>
      <c r="AR142" s="182" t="inlineStr">
        <is>
          <t/>
        </is>
      </c>
      <c r="AS142" s="183" t="inlineStr">
        <is>
          <t>info@warwickaudiotech.com</t>
        </is>
      </c>
      <c r="AT142" s="184" t="inlineStr">
        <is>
          <t>Europe</t>
        </is>
      </c>
      <c r="AU142" s="185" t="inlineStr">
        <is>
          <t>Western Europe</t>
        </is>
      </c>
      <c r="AV142" s="186" t="inlineStr">
        <is>
          <t>The company raised GBP 2.14 million of funding via SyndicateRoom in July 2017. Mercia Technologies participated in the round. The funds will be used for inventory purchases, core technology development, prototyping and marketing, as well as management and legal costs.</t>
        </is>
      </c>
      <c r="AW142" s="187" t="inlineStr">
        <is>
          <t>Development Bank of Wales, Individual Investor, Mercia Technologies, Minerva Business Angel Network, Porton Capital investment, Synergis Technologies, Warwick Ventures, West Midlands Enterprise</t>
        </is>
      </c>
      <c r="AX142" s="188" t="n">
        <v>8.0</v>
      </c>
      <c r="AY142" s="189" t="inlineStr">
        <is>
          <t/>
        </is>
      </c>
      <c r="AZ142" s="190" t="inlineStr">
        <is>
          <t>Midven</t>
        </is>
      </c>
      <c r="BA142" s="191" t="inlineStr">
        <is>
          <t/>
        </is>
      </c>
      <c r="BB142" s="192" t="inlineStr">
        <is>
          <t>Development Bank of Wales (www.developmentbank.wales), Mercia Technologies (www.merciatech.co.uk), Minerva Business Angel Network (www.minerva.uk.net), Porton Capital investment (www.portoncapital.com), Synergis Technologies (www.synergistechnologies.com), Warwick Ventures (www.ventures.warwick.ac.uk), West Midlands Enterprise (www.wm-enterprise.co.uk)</t>
        </is>
      </c>
      <c r="BC142" s="193" t="inlineStr">
        <is>
          <t>Midven (www.midven.co.uk)</t>
        </is>
      </c>
      <c r="BD142" s="194" t="inlineStr">
        <is>
          <t/>
        </is>
      </c>
      <c r="BE142" s="195" t="inlineStr">
        <is>
          <t>Peloton Leadership Network (Consulting)</t>
        </is>
      </c>
      <c r="BF142" s="196" t="inlineStr">
        <is>
          <t>SyndicateRoom (Lead Manager or Arranger)</t>
        </is>
      </c>
      <c r="BG142" s="197" t="n">
        <v>37406.0</v>
      </c>
      <c r="BH142" s="198" t="inlineStr">
        <is>
          <t/>
        </is>
      </c>
      <c r="BI142" s="199" t="inlineStr">
        <is>
          <t/>
        </is>
      </c>
      <c r="BJ142" s="200" t="inlineStr">
        <is>
          <t/>
        </is>
      </c>
      <c r="BK142" s="201" t="inlineStr">
        <is>
          <t/>
        </is>
      </c>
      <c r="BL142" s="202" t="inlineStr">
        <is>
          <t>Early Stage VC</t>
        </is>
      </c>
      <c r="BM142" s="203" t="inlineStr">
        <is>
          <t/>
        </is>
      </c>
      <c r="BN142" s="204" t="inlineStr">
        <is>
          <t/>
        </is>
      </c>
      <c r="BO142" s="205" t="inlineStr">
        <is>
          <t>Venture Capital</t>
        </is>
      </c>
      <c r="BP142" s="206" t="inlineStr">
        <is>
          <t/>
        </is>
      </c>
      <c r="BQ142" s="207" t="inlineStr">
        <is>
          <t/>
        </is>
      </c>
      <c r="BR142" s="208" t="inlineStr">
        <is>
          <t/>
        </is>
      </c>
      <c r="BS142" s="209" t="inlineStr">
        <is>
          <t>Completed</t>
        </is>
      </c>
      <c r="BT142" s="210" t="n">
        <v>42917.0</v>
      </c>
      <c r="BU142" s="211" t="n">
        <v>2.42</v>
      </c>
      <c r="BV142" s="212" t="inlineStr">
        <is>
          <t>Actual</t>
        </is>
      </c>
      <c r="BW142" s="213" t="inlineStr">
        <is>
          <t/>
        </is>
      </c>
      <c r="BX142" s="214" t="inlineStr">
        <is>
          <t/>
        </is>
      </c>
      <c r="BY142" s="215" t="inlineStr">
        <is>
          <t>Later Stage VC</t>
        </is>
      </c>
      <c r="BZ142" s="216" t="inlineStr">
        <is>
          <t/>
        </is>
      </c>
      <c r="CA142" s="217" t="inlineStr">
        <is>
          <t/>
        </is>
      </c>
      <c r="CB142" s="218" t="inlineStr">
        <is>
          <t>Venture Capital</t>
        </is>
      </c>
      <c r="CC142" s="219" t="inlineStr">
        <is>
          <t/>
        </is>
      </c>
      <c r="CD142" s="220" t="inlineStr">
        <is>
          <t/>
        </is>
      </c>
      <c r="CE142" s="221" t="inlineStr">
        <is>
          <t/>
        </is>
      </c>
      <c r="CF142" s="222" t="inlineStr">
        <is>
          <t>Completed</t>
        </is>
      </c>
      <c r="CG142" s="223" t="inlineStr">
        <is>
          <t>-0,21%</t>
        </is>
      </c>
      <c r="CH142" s="224" t="inlineStr">
        <is>
          <t>23</t>
        </is>
      </c>
      <c r="CI142" s="225" t="inlineStr">
        <is>
          <t>0,09%</t>
        </is>
      </c>
      <c r="CJ142" s="226" t="inlineStr">
        <is>
          <t>28,90%</t>
        </is>
      </c>
      <c r="CK142" s="227" t="inlineStr">
        <is>
          <t>-0,42%</t>
        </is>
      </c>
      <c r="CL142" s="228" t="inlineStr">
        <is>
          <t>24</t>
        </is>
      </c>
      <c r="CM142" s="229" t="inlineStr">
        <is>
          <t>0,00%</t>
        </is>
      </c>
      <c r="CN142" s="230" t="inlineStr">
        <is>
          <t>20</t>
        </is>
      </c>
      <c r="CO142" s="231" t="inlineStr">
        <is>
          <t>0,00%</t>
        </is>
      </c>
      <c r="CP142" s="232" t="inlineStr">
        <is>
          <t>37</t>
        </is>
      </c>
      <c r="CQ142" s="233" t="inlineStr">
        <is>
          <t>-0,84%</t>
        </is>
      </c>
      <c r="CR142" s="234" t="inlineStr">
        <is>
          <t>12</t>
        </is>
      </c>
      <c r="CS142" s="235" t="inlineStr">
        <is>
          <t/>
        </is>
      </c>
      <c r="CT142" s="236" t="inlineStr">
        <is>
          <t/>
        </is>
      </c>
      <c r="CU142" s="237" t="inlineStr">
        <is>
          <t>0,00%</t>
        </is>
      </c>
      <c r="CV142" s="238" t="inlineStr">
        <is>
          <t>21</t>
        </is>
      </c>
      <c r="CW142" s="239" t="inlineStr">
        <is>
          <t>0,86x</t>
        </is>
      </c>
      <c r="CX142" s="240" t="inlineStr">
        <is>
          <t>45</t>
        </is>
      </c>
      <c r="CY142" s="241" t="inlineStr">
        <is>
          <t>-0,01x</t>
        </is>
      </c>
      <c r="CZ142" s="242" t="inlineStr">
        <is>
          <t>-1,61%</t>
        </is>
      </c>
      <c r="DA142" s="243" t="inlineStr">
        <is>
          <t>1,68x</t>
        </is>
      </c>
      <c r="DB142" s="244" t="inlineStr">
        <is>
          <t>63</t>
        </is>
      </c>
      <c r="DC142" s="245" t="inlineStr">
        <is>
          <t>0,04x</t>
        </is>
      </c>
      <c r="DD142" s="246" t="inlineStr">
        <is>
          <t>7</t>
        </is>
      </c>
      <c r="DE142" s="247" t="inlineStr">
        <is>
          <t>0,80x</t>
        </is>
      </c>
      <c r="DF142" s="248" t="inlineStr">
        <is>
          <t>45</t>
        </is>
      </c>
      <c r="DG142" s="249" t="inlineStr">
        <is>
          <t>2,56x</t>
        </is>
      </c>
      <c r="DH142" s="250" t="inlineStr">
        <is>
          <t>69</t>
        </is>
      </c>
      <c r="DI142" s="251" t="inlineStr">
        <is>
          <t/>
        </is>
      </c>
      <c r="DJ142" s="252" t="inlineStr">
        <is>
          <t/>
        </is>
      </c>
      <c r="DK142" s="253" t="inlineStr">
        <is>
          <t>0,04x</t>
        </is>
      </c>
      <c r="DL142" s="254" t="inlineStr">
        <is>
          <t>9</t>
        </is>
      </c>
      <c r="DM142" s="255" t="inlineStr">
        <is>
          <t>306</t>
        </is>
      </c>
      <c r="DN142" s="256" t="inlineStr">
        <is>
          <t>-27</t>
        </is>
      </c>
      <c r="DO142" s="257" t="inlineStr">
        <is>
          <t>-8,11%</t>
        </is>
      </c>
      <c r="DP142" s="258" t="inlineStr">
        <is>
          <t/>
        </is>
      </c>
      <c r="DQ142" s="259" t="inlineStr">
        <is>
          <t/>
        </is>
      </c>
      <c r="DR142" s="260" t="inlineStr">
        <is>
          <t/>
        </is>
      </c>
      <c r="DS142" s="261" t="inlineStr">
        <is>
          <t>92</t>
        </is>
      </c>
      <c r="DT142" s="262" t="inlineStr">
        <is>
          <t>-2</t>
        </is>
      </c>
      <c r="DU142" s="263" t="inlineStr">
        <is>
          <t>-2,13%</t>
        </is>
      </c>
      <c r="DV142" s="264" t="inlineStr">
        <is>
          <t>16</t>
        </is>
      </c>
      <c r="DW142" s="265" t="inlineStr">
        <is>
          <t>0</t>
        </is>
      </c>
      <c r="DX142" s="266" t="inlineStr">
        <is>
          <t>0,00%</t>
        </is>
      </c>
      <c r="DY142" s="267" t="inlineStr">
        <is>
          <t>PitchBook Research</t>
        </is>
      </c>
      <c r="DZ142" s="786">
        <f>HYPERLINK("https://my.pitchbook.com?c=60489-37", "View company online")</f>
      </c>
    </row>
    <row r="143">
      <c r="A143" s="9" t="inlineStr">
        <is>
          <t>53843-95</t>
        </is>
      </c>
      <c r="B143" s="10" t="inlineStr">
        <is>
          <t>Squirro</t>
        </is>
      </c>
      <c r="C143" s="11" t="inlineStr">
        <is>
          <t/>
        </is>
      </c>
      <c r="D143" s="12" t="inlineStr">
        <is>
          <t/>
        </is>
      </c>
      <c r="E143" s="13" t="inlineStr">
        <is>
          <t>53843-95</t>
        </is>
      </c>
      <c r="F143" s="14" t="inlineStr">
        <is>
          <t>Provider of a context intelligence software designed to offer cognitive insights for comprehensive analysis of unstructured data. The company's context intelligence software correlates unstructured data from any digital source to structured data of already existing enterprise systems as well as works with inputs, which already exist within BI and CRM platforms and analyses and learns to prioritize the information based on user interactions, enabling organizations to efficiently manage and unlock the hidden value within data.</t>
        </is>
      </c>
      <c r="G143" s="15" t="inlineStr">
        <is>
          <t>Business Products and Services (B2B)</t>
        </is>
      </c>
      <c r="H143" s="16" t="inlineStr">
        <is>
          <t>Commercial Services</t>
        </is>
      </c>
      <c r="I143" s="17" t="inlineStr">
        <is>
          <t>Media and Information Services (B2B)</t>
        </is>
      </c>
      <c r="J143" s="18" t="inlineStr">
        <is>
          <t>Media and Information Services (B2B)*; Business/Productivity Software</t>
        </is>
      </c>
      <c r="K143" s="19" t="inlineStr">
        <is>
          <t>Big Data, FinTech, SaaS</t>
        </is>
      </c>
      <c r="L143" s="20" t="inlineStr">
        <is>
          <t>Venture Capital-Backed</t>
        </is>
      </c>
      <c r="M143" s="21" t="n">
        <v>9.82</v>
      </c>
      <c r="N143" s="22" t="inlineStr">
        <is>
          <t>Generating Revenue</t>
        </is>
      </c>
      <c r="O143" s="23" t="inlineStr">
        <is>
          <t>Privately Held (backing)</t>
        </is>
      </c>
      <c r="P143" s="24" t="inlineStr">
        <is>
          <t>Venture Capital</t>
        </is>
      </c>
      <c r="Q143" s="25" t="inlineStr">
        <is>
          <t>www.squirro.com</t>
        </is>
      </c>
      <c r="R143" s="26" t="n">
        <v>25.0</v>
      </c>
      <c r="S143" s="27" t="inlineStr">
        <is>
          <t/>
        </is>
      </c>
      <c r="T143" s="28" t="inlineStr">
        <is>
          <t/>
        </is>
      </c>
      <c r="U143" s="29" t="n">
        <v>2009.0</v>
      </c>
      <c r="V143" s="30" t="inlineStr">
        <is>
          <t/>
        </is>
      </c>
      <c r="W143" s="31" t="inlineStr">
        <is>
          <r>
            <rPr>
              <b/>
              <color rgb="ff26854d"/>
              <rFont val="Arial"/>
              <sz val="8.0"/>
            </rPr>
            <t>News</t>
          </r>
          <r>
            <rPr>
              <color rgb="ff707070"/>
              <rFont val="Arial"/>
              <sz val="7.0"/>
            </rPr>
            <t xml:space="preserve"> NEW  </t>
          </r>
        </is>
      </c>
      <c r="X143" s="32" t="inlineStr">
        <is>
          <r>
            <rPr>
              <b/>
              <color rgb="ff26854d"/>
              <rFont val="Arial"/>
              <sz val="8.0"/>
            </rPr>
            <t>News</t>
          </r>
          <r>
            <rPr>
              <color rgb="ff707070"/>
              <rFont val="Arial"/>
              <sz val="7.0"/>
            </rPr>
            <t xml:space="preserve"> NEW  </t>
          </r>
        </is>
      </c>
      <c r="Y143" s="33" t="inlineStr">
        <is>
          <t/>
        </is>
      </c>
      <c r="Z143" s="34" t="inlineStr">
        <is>
          <t/>
        </is>
      </c>
      <c r="AA143" s="35" t="inlineStr">
        <is>
          <t/>
        </is>
      </c>
      <c r="AB143" s="36" t="inlineStr">
        <is>
          <t/>
        </is>
      </c>
      <c r="AC143" s="37" t="inlineStr">
        <is>
          <t/>
        </is>
      </c>
      <c r="AD143" s="38" t="inlineStr">
        <is>
          <t/>
        </is>
      </c>
      <c r="AE143" s="39" t="inlineStr">
        <is>
          <t>49933-90P</t>
        </is>
      </c>
      <c r="AF143" s="40" t="inlineStr">
        <is>
          <t>Dorian Selz</t>
        </is>
      </c>
      <c r="AG143" s="41" t="inlineStr">
        <is>
          <t>Co-Founder and Chief Executive Officer</t>
        </is>
      </c>
      <c r="AH143" s="42" t="inlineStr">
        <is>
          <t>dorian@squirro.com</t>
        </is>
      </c>
      <c r="AI143" s="43" t="inlineStr">
        <is>
          <t>+41 (0)44 586 9898</t>
        </is>
      </c>
      <c r="AJ143" s="44" t="inlineStr">
        <is>
          <t>Zurich, Switzerland</t>
        </is>
      </c>
      <c r="AK143" s="45" t="inlineStr">
        <is>
          <t>Badenerstrasse 120</t>
        </is>
      </c>
      <c r="AL143" s="46" t="inlineStr">
        <is>
          <t/>
        </is>
      </c>
      <c r="AM143" s="47" t="inlineStr">
        <is>
          <t>Zurich</t>
        </is>
      </c>
      <c r="AN143" s="48" t="inlineStr">
        <is>
          <t/>
        </is>
      </c>
      <c r="AO143" s="49" t="inlineStr">
        <is>
          <t>8004</t>
        </is>
      </c>
      <c r="AP143" s="50" t="inlineStr">
        <is>
          <t>Switzerland</t>
        </is>
      </c>
      <c r="AQ143" s="51" t="inlineStr">
        <is>
          <t>+41 (0)44 586 9898</t>
        </is>
      </c>
      <c r="AR143" s="52" t="inlineStr">
        <is>
          <t/>
        </is>
      </c>
      <c r="AS143" s="53" t="inlineStr">
        <is>
          <t>contact@squirro.com</t>
        </is>
      </c>
      <c r="AT143" s="54" t="inlineStr">
        <is>
          <t>Europe</t>
        </is>
      </c>
      <c r="AU143" s="55" t="inlineStr">
        <is>
          <t>Western Europe</t>
        </is>
      </c>
      <c r="AV143" s="56" t="inlineStr">
        <is>
          <t>The company joined Plug and Play Tech Center as part of the 6th Batch in the Fall 2017 and received an undisclosed amount of seed funding. The company also raised $10 million of Series B venture funding in a deal lead by Orange Growth Capital on June 21, 2017. Salesforce Ventures and other undisclosed investors also participated in this round. The new funding will be used to accelerate growth in emerging markets, further strengthen the company's presence in North America and Europe, and reinforce the R&amp;D team based in Zurich. Prior to that, the company joined SuperCharger FinTech Accelerator as a part of its 2.0 Demo Day on April 11, 2017 and received an undisclosed amount in funding.</t>
        </is>
      </c>
      <c r="AW143" s="57" t="inlineStr">
        <is>
          <t>Ecosystem Ventures, Finch Capital, FinTech Innovation Lab, FormulaVC Venture Fund, Plug and Play Tech Center, Salesforce Ventures, SuperCharger FinTech Accelerator, Swiss Finance Startups</t>
        </is>
      </c>
      <c r="AX143" s="58" t="n">
        <v>8.0</v>
      </c>
      <c r="AY143" s="59" t="inlineStr">
        <is>
          <t/>
        </is>
      </c>
      <c r="AZ143" s="60" t="inlineStr">
        <is>
          <t>Polytech Ecosystem Ventures</t>
        </is>
      </c>
      <c r="BA143" s="61" t="inlineStr">
        <is>
          <t/>
        </is>
      </c>
      <c r="BB143" s="62" t="inlineStr">
        <is>
          <t>Ecosystem Ventures (www.ecosystemventures.com), Finch Capital (www.ogc-partners.com), FinTech Innovation Lab (www.fintechinnovationlab.com), FormulaVC Venture Fund (www.formulavc.com), Plug and Play Tech Center (www.plugandplaytechcenter.com), SuperCharger FinTech Accelerator (www.fintechsupercharger.com), Swiss Finance Startups (www.swissfinancestartups.com)</t>
        </is>
      </c>
      <c r="BC143" s="63" t="inlineStr">
        <is>
          <t>Polytech Ecosystem Ventures (www.polytechecosystem.vc)</t>
        </is>
      </c>
      <c r="BD143" s="64" t="inlineStr">
        <is>
          <t/>
        </is>
      </c>
      <c r="BE143" s="65" t="inlineStr">
        <is>
          <t>Orrick, Herrington &amp; Sutcliffe (Legal Advisor)</t>
        </is>
      </c>
      <c r="BF143" s="66" t="inlineStr">
        <is>
          <t/>
        </is>
      </c>
      <c r="BG143" s="67" t="n">
        <v>40954.0</v>
      </c>
      <c r="BH143" s="68" t="n">
        <v>1.13</v>
      </c>
      <c r="BI143" s="69" t="inlineStr">
        <is>
          <t>Actual</t>
        </is>
      </c>
      <c r="BJ143" s="70" t="inlineStr">
        <is>
          <t/>
        </is>
      </c>
      <c r="BK143" s="71" t="inlineStr">
        <is>
          <t/>
        </is>
      </c>
      <c r="BL143" s="72" t="inlineStr">
        <is>
          <t>Seed Round</t>
        </is>
      </c>
      <c r="BM143" s="73" t="inlineStr">
        <is>
          <t>Seed</t>
        </is>
      </c>
      <c r="BN143" s="74" t="inlineStr">
        <is>
          <t/>
        </is>
      </c>
      <c r="BO143" s="75" t="inlineStr">
        <is>
          <t>Venture Capital</t>
        </is>
      </c>
      <c r="BP143" s="76" t="inlineStr">
        <is>
          <t/>
        </is>
      </c>
      <c r="BQ143" s="77" t="inlineStr">
        <is>
          <t/>
        </is>
      </c>
      <c r="BR143" s="78" t="inlineStr">
        <is>
          <t/>
        </is>
      </c>
      <c r="BS143" s="79" t="inlineStr">
        <is>
          <t>Completed</t>
        </is>
      </c>
      <c r="BT143" s="80" t="n">
        <v>42950.0</v>
      </c>
      <c r="BU143" s="81" t="inlineStr">
        <is>
          <t/>
        </is>
      </c>
      <c r="BV143" s="82" t="inlineStr">
        <is>
          <t/>
        </is>
      </c>
      <c r="BW143" s="83" t="inlineStr">
        <is>
          <t/>
        </is>
      </c>
      <c r="BX143" s="84" t="inlineStr">
        <is>
          <t/>
        </is>
      </c>
      <c r="BY143" s="85" t="inlineStr">
        <is>
          <t>Accelerator/Incubator</t>
        </is>
      </c>
      <c r="BZ143" s="86" t="inlineStr">
        <is>
          <t/>
        </is>
      </c>
      <c r="CA143" s="87" t="inlineStr">
        <is>
          <t/>
        </is>
      </c>
      <c r="CB143" s="88" t="inlineStr">
        <is>
          <t>Other</t>
        </is>
      </c>
      <c r="CC143" s="89" t="inlineStr">
        <is>
          <t/>
        </is>
      </c>
      <c r="CD143" s="90" t="inlineStr">
        <is>
          <t/>
        </is>
      </c>
      <c r="CE143" s="91" t="inlineStr">
        <is>
          <t/>
        </is>
      </c>
      <c r="CF143" s="92" t="inlineStr">
        <is>
          <t>Completed</t>
        </is>
      </c>
      <c r="CG143" s="93" t="inlineStr">
        <is>
          <t>-2,05%</t>
        </is>
      </c>
      <c r="CH143" s="94" t="inlineStr">
        <is>
          <t>9</t>
        </is>
      </c>
      <c r="CI143" s="95" t="inlineStr">
        <is>
          <t>-0,08%</t>
        </is>
      </c>
      <c r="CJ143" s="96" t="inlineStr">
        <is>
          <t>-3,98%</t>
        </is>
      </c>
      <c r="CK143" s="97" t="inlineStr">
        <is>
          <t>-4,46%</t>
        </is>
      </c>
      <c r="CL143" s="98" t="inlineStr">
        <is>
          <t>9</t>
        </is>
      </c>
      <c r="CM143" s="99" t="inlineStr">
        <is>
          <t>0,36%</t>
        </is>
      </c>
      <c r="CN143" s="100" t="inlineStr">
        <is>
          <t>83</t>
        </is>
      </c>
      <c r="CO143" s="101" t="inlineStr">
        <is>
          <t>-7,02%</t>
        </is>
      </c>
      <c r="CP143" s="102" t="inlineStr">
        <is>
          <t>17</t>
        </is>
      </c>
      <c r="CQ143" s="103" t="inlineStr">
        <is>
          <t>-1,90%</t>
        </is>
      </c>
      <c r="CR143" s="104" t="inlineStr">
        <is>
          <t>3</t>
        </is>
      </c>
      <c r="CS143" s="105" t="inlineStr">
        <is>
          <t>0,00%</t>
        </is>
      </c>
      <c r="CT143" s="106" t="inlineStr">
        <is>
          <t>18</t>
        </is>
      </c>
      <c r="CU143" s="107" t="inlineStr">
        <is>
          <t>0,72%</t>
        </is>
      </c>
      <c r="CV143" s="108" t="inlineStr">
        <is>
          <t>94</t>
        </is>
      </c>
      <c r="CW143" s="109" t="inlineStr">
        <is>
          <t>6,20x</t>
        </is>
      </c>
      <c r="CX143" s="110" t="inlineStr">
        <is>
          <t>83</t>
        </is>
      </c>
      <c r="CY143" s="111" t="inlineStr">
        <is>
          <t>-0,08x</t>
        </is>
      </c>
      <c r="CZ143" s="112" t="inlineStr">
        <is>
          <t>-1,23%</t>
        </is>
      </c>
      <c r="DA143" s="113" t="inlineStr">
        <is>
          <t>5,09x</t>
        </is>
      </c>
      <c r="DB143" s="114" t="inlineStr">
        <is>
          <t>81</t>
        </is>
      </c>
      <c r="DC143" s="115" t="inlineStr">
        <is>
          <t>7,30x</t>
        </is>
      </c>
      <c r="DD143" s="116" t="inlineStr">
        <is>
          <t>81</t>
        </is>
      </c>
      <c r="DE143" s="117" t="inlineStr">
        <is>
          <t>1,41x</t>
        </is>
      </c>
      <c r="DF143" s="118" t="inlineStr">
        <is>
          <t>58</t>
        </is>
      </c>
      <c r="DG143" s="119" t="inlineStr">
        <is>
          <t>8,78x</t>
        </is>
      </c>
      <c r="DH143" s="120" t="inlineStr">
        <is>
          <t>86</t>
        </is>
      </c>
      <c r="DI143" s="121" t="inlineStr">
        <is>
          <t>12,29x</t>
        </is>
      </c>
      <c r="DJ143" s="122" t="inlineStr">
        <is>
          <t>83</t>
        </is>
      </c>
      <c r="DK143" s="123" t="inlineStr">
        <is>
          <t>2,32x</t>
        </is>
      </c>
      <c r="DL143" s="124" t="inlineStr">
        <is>
          <t>66</t>
        </is>
      </c>
      <c r="DM143" s="125" t="inlineStr">
        <is>
          <t>532</t>
        </is>
      </c>
      <c r="DN143" s="126" t="inlineStr">
        <is>
          <t>-49</t>
        </is>
      </c>
      <c r="DO143" s="127" t="inlineStr">
        <is>
          <t>-8,43%</t>
        </is>
      </c>
      <c r="DP143" s="128" t="inlineStr">
        <is>
          <t>9.733</t>
        </is>
      </c>
      <c r="DQ143" s="129" t="inlineStr">
        <is>
          <t>0</t>
        </is>
      </c>
      <c r="DR143" s="130" t="inlineStr">
        <is>
          <t>0,00%</t>
        </is>
      </c>
      <c r="DS143" s="131" t="inlineStr">
        <is>
          <t>319</t>
        </is>
      </c>
      <c r="DT143" s="132" t="inlineStr">
        <is>
          <t>-7</t>
        </is>
      </c>
      <c r="DU143" s="133" t="inlineStr">
        <is>
          <t>-2,15%</t>
        </is>
      </c>
      <c r="DV143" s="134" t="inlineStr">
        <is>
          <t>866</t>
        </is>
      </c>
      <c r="DW143" s="135" t="inlineStr">
        <is>
          <t>2</t>
        </is>
      </c>
      <c r="DX143" s="136" t="inlineStr">
        <is>
          <t>0,23%</t>
        </is>
      </c>
      <c r="DY143" s="137" t="inlineStr">
        <is>
          <t>PitchBook Research</t>
        </is>
      </c>
      <c r="DZ143" s="785">
        <f>HYPERLINK("https://my.pitchbook.com?c=53843-95", "View company online")</f>
      </c>
    </row>
    <row r="144">
      <c r="A144" s="139" t="inlineStr">
        <is>
          <t>171101-08</t>
        </is>
      </c>
      <c r="B144" s="140" t="inlineStr">
        <is>
          <t>Crossflow Energy</t>
        </is>
      </c>
      <c r="C144" s="141" t="inlineStr">
        <is>
          <t/>
        </is>
      </c>
      <c r="D144" s="142" t="inlineStr">
        <is>
          <t>C-Fec</t>
        </is>
      </c>
      <c r="E144" s="143" t="inlineStr">
        <is>
          <t>171101-08</t>
        </is>
      </c>
      <c r="F144" s="144" t="inlineStr">
        <is>
          <t>Provider of a renewable energy technology platform intended to deliver a revolutionary vertical-axis wind turbine. The company's renewable energy technology platform had adapted a cross flow design which includes a unique structure, direct drive and advanced energy shield systems enabling industries, communities and the society with power and water with less complexity, economical, easy to transport and in a more efficient way.</t>
        </is>
      </c>
      <c r="G144" s="145" t="inlineStr">
        <is>
          <t>Energy</t>
        </is>
      </c>
      <c r="H144" s="146" t="inlineStr">
        <is>
          <t>Exploration, Production and Refining</t>
        </is>
      </c>
      <c r="I144" s="147" t="inlineStr">
        <is>
          <t>Energy Production</t>
        </is>
      </c>
      <c r="J144" s="148" t="inlineStr">
        <is>
          <t>Energy Production*; Energy Infrastructure</t>
        </is>
      </c>
      <c r="K144" s="149" t="inlineStr">
        <is>
          <t>CleanTech, LOHAS &amp; Wellness</t>
        </is>
      </c>
      <c r="L144" s="150" t="inlineStr">
        <is>
          <t>Venture Capital-Backed</t>
        </is>
      </c>
      <c r="M144" s="151" t="n">
        <v>9.81</v>
      </c>
      <c r="N144" s="152" t="inlineStr">
        <is>
          <t>Generating Revenue</t>
        </is>
      </c>
      <c r="O144" s="153" t="inlineStr">
        <is>
          <t>Privately Held (backing)</t>
        </is>
      </c>
      <c r="P144" s="154" t="inlineStr">
        <is>
          <t>Venture Capital</t>
        </is>
      </c>
      <c r="Q144" s="155" t="inlineStr">
        <is>
          <t>www.crossflowenergy.co.uk</t>
        </is>
      </c>
      <c r="R144" s="156" t="inlineStr">
        <is>
          <t/>
        </is>
      </c>
      <c r="S144" s="157" t="inlineStr">
        <is>
          <t/>
        </is>
      </c>
      <c r="T144" s="158" t="inlineStr">
        <is>
          <t/>
        </is>
      </c>
      <c r="U144" s="159" t="n">
        <v>2007.0</v>
      </c>
      <c r="V144" s="160" t="inlineStr">
        <is>
          <t/>
        </is>
      </c>
      <c r="W144" s="161" t="inlineStr">
        <is>
          <t/>
        </is>
      </c>
      <c r="X144" s="162" t="inlineStr">
        <is>
          <t/>
        </is>
      </c>
      <c r="Y144" s="163" t="inlineStr">
        <is>
          <t/>
        </is>
      </c>
      <c r="Z144" s="164" t="inlineStr">
        <is>
          <t/>
        </is>
      </c>
      <c r="AA144" s="165" t="inlineStr">
        <is>
          <t/>
        </is>
      </c>
      <c r="AB144" s="166" t="inlineStr">
        <is>
          <t/>
        </is>
      </c>
      <c r="AC144" s="167" t="inlineStr">
        <is>
          <t/>
        </is>
      </c>
      <c r="AD144" s="168" t="inlineStr">
        <is>
          <t/>
        </is>
      </c>
      <c r="AE144" s="169" t="inlineStr">
        <is>
          <t>158239-18P</t>
        </is>
      </c>
      <c r="AF144" s="170" t="inlineStr">
        <is>
          <t>Jim Barry</t>
        </is>
      </c>
      <c r="AG144" s="171" t="inlineStr">
        <is>
          <t>Chief Executive Officer</t>
        </is>
      </c>
      <c r="AH144" s="172" t="inlineStr">
        <is>
          <t>jim.barry@cfec.com</t>
        </is>
      </c>
      <c r="AI144" s="173" t="inlineStr">
        <is>
          <t>+44 (0)16 3981 6020</t>
        </is>
      </c>
      <c r="AJ144" s="174" t="inlineStr">
        <is>
          <t>Port Talbot, United Kingdom</t>
        </is>
      </c>
      <c r="AK144" s="175" t="inlineStr">
        <is>
          <t>Baglan Bay Innovation Centre</t>
        </is>
      </c>
      <c r="AL144" s="176" t="inlineStr">
        <is>
          <t>Energy Park</t>
        </is>
      </c>
      <c r="AM144" s="177" t="inlineStr">
        <is>
          <t>Port Talbot</t>
        </is>
      </c>
      <c r="AN144" s="178" t="inlineStr">
        <is>
          <t>Wales</t>
        </is>
      </c>
      <c r="AO144" s="179" t="inlineStr">
        <is>
          <t>SA12 7AX</t>
        </is>
      </c>
      <c r="AP144" s="180" t="inlineStr">
        <is>
          <t>United Kingdom</t>
        </is>
      </c>
      <c r="AQ144" s="181" t="inlineStr">
        <is>
          <t>+44 (0)16 3981 6020</t>
        </is>
      </c>
      <c r="AR144" s="182" t="inlineStr">
        <is>
          <t/>
        </is>
      </c>
      <c r="AS144" s="183" t="inlineStr">
        <is>
          <t>info@c-fec.com</t>
        </is>
      </c>
      <c r="AT144" s="184" t="inlineStr">
        <is>
          <t>Europe</t>
        </is>
      </c>
      <c r="AU144" s="185" t="inlineStr">
        <is>
          <t>Western Europe</t>
        </is>
      </c>
      <c r="AV144" s="186" t="inlineStr">
        <is>
          <t>The company raised GBP 2.54 million of venture funding from undisclosed investors on February 9, 2017, putting the pre-money valuation at GBP 4.35 million.</t>
        </is>
      </c>
      <c r="AW144" s="187" t="inlineStr">
        <is>
          <t>Pacific &amp; Orient Properties</t>
        </is>
      </c>
      <c r="AX144" s="188" t="n">
        <v>1.0</v>
      </c>
      <c r="AY144" s="189" t="inlineStr">
        <is>
          <t/>
        </is>
      </c>
      <c r="AZ144" s="190" t="inlineStr">
        <is>
          <t/>
        </is>
      </c>
      <c r="BA144" s="191" t="inlineStr">
        <is>
          <t/>
        </is>
      </c>
      <c r="BB144" s="192" t="inlineStr">
        <is>
          <t>Pacific &amp; Orient Properties (pacificorientlondon.co.uk)</t>
        </is>
      </c>
      <c r="BC144" s="193" t="inlineStr">
        <is>
          <t/>
        </is>
      </c>
      <c r="BD144" s="194" t="inlineStr">
        <is>
          <t/>
        </is>
      </c>
      <c r="BE144" s="195" t="inlineStr">
        <is>
          <t/>
        </is>
      </c>
      <c r="BF144" s="196" t="inlineStr">
        <is>
          <t/>
        </is>
      </c>
      <c r="BG144" s="197" t="n">
        <v>40154.0</v>
      </c>
      <c r="BH144" s="198" t="n">
        <v>0.38</v>
      </c>
      <c r="BI144" s="199" t="inlineStr">
        <is>
          <t>Actual</t>
        </is>
      </c>
      <c r="BJ144" s="200" t="n">
        <v>1.24</v>
      </c>
      <c r="BK144" s="201" t="inlineStr">
        <is>
          <t>Actual</t>
        </is>
      </c>
      <c r="BL144" s="202" t="inlineStr">
        <is>
          <t>Early Stage VC</t>
        </is>
      </c>
      <c r="BM144" s="203" t="inlineStr">
        <is>
          <t/>
        </is>
      </c>
      <c r="BN144" s="204" t="inlineStr">
        <is>
          <t/>
        </is>
      </c>
      <c r="BO144" s="205" t="inlineStr">
        <is>
          <t>Venture Capital</t>
        </is>
      </c>
      <c r="BP144" s="206" t="inlineStr">
        <is>
          <t/>
        </is>
      </c>
      <c r="BQ144" s="207" t="inlineStr">
        <is>
          <t/>
        </is>
      </c>
      <c r="BR144" s="208" t="inlineStr">
        <is>
          <t/>
        </is>
      </c>
      <c r="BS144" s="209" t="inlineStr">
        <is>
          <t>Completed</t>
        </is>
      </c>
      <c r="BT144" s="210" t="n">
        <v>42775.0</v>
      </c>
      <c r="BU144" s="211" t="n">
        <v>2.97</v>
      </c>
      <c r="BV144" s="212" t="inlineStr">
        <is>
          <t>Actual</t>
        </is>
      </c>
      <c r="BW144" s="213" t="n">
        <v>8.07</v>
      </c>
      <c r="BX144" s="214" t="inlineStr">
        <is>
          <t>Actual</t>
        </is>
      </c>
      <c r="BY144" s="215" t="inlineStr">
        <is>
          <t>Later Stage VC</t>
        </is>
      </c>
      <c r="BZ144" s="216" t="inlineStr">
        <is>
          <t/>
        </is>
      </c>
      <c r="CA144" s="217" t="inlineStr">
        <is>
          <t/>
        </is>
      </c>
      <c r="CB144" s="218" t="inlineStr">
        <is>
          <t>Venture Capital</t>
        </is>
      </c>
      <c r="CC144" s="219" t="inlineStr">
        <is>
          <t/>
        </is>
      </c>
      <c r="CD144" s="220" t="inlineStr">
        <is>
          <t/>
        </is>
      </c>
      <c r="CE144" s="221" t="inlineStr">
        <is>
          <t/>
        </is>
      </c>
      <c r="CF144" s="222" t="inlineStr">
        <is>
          <t>Completed</t>
        </is>
      </c>
      <c r="CG144" s="223" t="inlineStr">
        <is>
          <t>0,00%</t>
        </is>
      </c>
      <c r="CH144" s="224" t="inlineStr">
        <is>
          <t>33</t>
        </is>
      </c>
      <c r="CI144" s="225" t="inlineStr">
        <is>
          <t>0,00%</t>
        </is>
      </c>
      <c r="CJ144" s="226" t="inlineStr">
        <is>
          <t>0,00%</t>
        </is>
      </c>
      <c r="CK144" s="227" t="inlineStr">
        <is>
          <t>0,00%</t>
        </is>
      </c>
      <c r="CL144" s="228" t="inlineStr">
        <is>
          <t>28</t>
        </is>
      </c>
      <c r="CM144" s="229" t="inlineStr">
        <is>
          <t>0,00%</t>
        </is>
      </c>
      <c r="CN144" s="230" t="inlineStr">
        <is>
          <t>20</t>
        </is>
      </c>
      <c r="CO144" s="231" t="inlineStr">
        <is>
          <t>0,00%</t>
        </is>
      </c>
      <c r="CP144" s="232" t="inlineStr">
        <is>
          <t>37</t>
        </is>
      </c>
      <c r="CQ144" s="233" t="inlineStr">
        <is>
          <t/>
        </is>
      </c>
      <c r="CR144" s="234" t="inlineStr">
        <is>
          <t/>
        </is>
      </c>
      <c r="CS144" s="235" t="inlineStr">
        <is>
          <t/>
        </is>
      </c>
      <c r="CT144" s="236" t="inlineStr">
        <is>
          <t/>
        </is>
      </c>
      <c r="CU144" s="237" t="inlineStr">
        <is>
          <t>0,00%</t>
        </is>
      </c>
      <c r="CV144" s="238" t="inlineStr">
        <is>
          <t>21</t>
        </is>
      </c>
      <c r="CW144" s="239" t="inlineStr">
        <is>
          <t>0,18x</t>
        </is>
      </c>
      <c r="CX144" s="240" t="inlineStr">
        <is>
          <t>15</t>
        </is>
      </c>
      <c r="CY144" s="241" t="inlineStr">
        <is>
          <t>0,00x</t>
        </is>
      </c>
      <c r="CZ144" s="242" t="inlineStr">
        <is>
          <t>-0,18%</t>
        </is>
      </c>
      <c r="DA144" s="243" t="inlineStr">
        <is>
          <t>0,30x</t>
        </is>
      </c>
      <c r="DB144" s="244" t="inlineStr">
        <is>
          <t>24</t>
        </is>
      </c>
      <c r="DC144" s="245" t="inlineStr">
        <is>
          <t>0,06x</t>
        </is>
      </c>
      <c r="DD144" s="246" t="inlineStr">
        <is>
          <t>9</t>
        </is>
      </c>
      <c r="DE144" s="247" t="inlineStr">
        <is>
          <t>0,30x</t>
        </is>
      </c>
      <c r="DF144" s="248" t="inlineStr">
        <is>
          <t>22</t>
        </is>
      </c>
      <c r="DG144" s="249" t="inlineStr">
        <is>
          <t/>
        </is>
      </c>
      <c r="DH144" s="250" t="inlineStr">
        <is>
          <t/>
        </is>
      </c>
      <c r="DI144" s="251" t="inlineStr">
        <is>
          <t/>
        </is>
      </c>
      <c r="DJ144" s="252" t="inlineStr">
        <is>
          <t/>
        </is>
      </c>
      <c r="DK144" s="253" t="inlineStr">
        <is>
          <t>0,06x</t>
        </is>
      </c>
      <c r="DL144" s="254" t="inlineStr">
        <is>
          <t>12</t>
        </is>
      </c>
      <c r="DM144" s="255" t="inlineStr">
        <is>
          <t>105</t>
        </is>
      </c>
      <c r="DN144" s="256" t="inlineStr">
        <is>
          <t>22</t>
        </is>
      </c>
      <c r="DO144" s="257" t="inlineStr">
        <is>
          <t>26,51%</t>
        </is>
      </c>
      <c r="DP144" s="258" t="inlineStr">
        <is>
          <t/>
        </is>
      </c>
      <c r="DQ144" s="259" t="inlineStr">
        <is>
          <t/>
        </is>
      </c>
      <c r="DR144" s="260" t="inlineStr">
        <is>
          <t/>
        </is>
      </c>
      <c r="DS144" s="261" t="inlineStr">
        <is>
          <t/>
        </is>
      </c>
      <c r="DT144" s="262" t="inlineStr">
        <is>
          <t/>
        </is>
      </c>
      <c r="DU144" s="263" t="inlineStr">
        <is>
          <t/>
        </is>
      </c>
      <c r="DV144" s="264" t="inlineStr">
        <is>
          <t>23</t>
        </is>
      </c>
      <c r="DW144" s="265" t="inlineStr">
        <is>
          <t>0</t>
        </is>
      </c>
      <c r="DX144" s="266" t="inlineStr">
        <is>
          <t>0,00%</t>
        </is>
      </c>
      <c r="DY144" s="267" t="inlineStr">
        <is>
          <t>PitchBook Research</t>
        </is>
      </c>
      <c r="DZ144" s="786">
        <f>HYPERLINK("https://my.pitchbook.com?c=171101-08", "View company online")</f>
      </c>
    </row>
    <row r="145">
      <c r="A145" s="9" t="inlineStr">
        <is>
          <t>84286-00</t>
        </is>
      </c>
      <c r="B145" s="10" t="inlineStr">
        <is>
          <t>Bossa Studios</t>
        </is>
      </c>
      <c r="C145" s="11" t="inlineStr">
        <is>
          <t/>
        </is>
      </c>
      <c r="D145" s="12" t="inlineStr">
        <is>
          <t>Bossa</t>
        </is>
      </c>
      <c r="E145" s="13" t="inlineStr">
        <is>
          <t>84286-00</t>
        </is>
      </c>
      <c r="F145" s="14" t="inlineStr">
        <is>
          <t>Operator of a game development and publishing studio designed to develop next generation innovative games. The company's game development and publishing studio aims to create independent games that defy genres and open up new audiences, providing gamer with games for social networks and mobile devices as well as through online store.</t>
        </is>
      </c>
      <c r="G145" s="15" t="inlineStr">
        <is>
          <t>Information Technology</t>
        </is>
      </c>
      <c r="H145" s="16" t="inlineStr">
        <is>
          <t>Software</t>
        </is>
      </c>
      <c r="I145" s="17" t="inlineStr">
        <is>
          <t>Entertainment Software</t>
        </is>
      </c>
      <c r="J145" s="18" t="inlineStr">
        <is>
          <t>Entertainment Software*; Internet Retail; Application Software</t>
        </is>
      </c>
      <c r="K145" s="19" t="inlineStr">
        <is>
          <t>E-Commerce, Mobile</t>
        </is>
      </c>
      <c r="L145" s="20" t="inlineStr">
        <is>
          <t>Venture Capital-Backed</t>
        </is>
      </c>
      <c r="M145" s="21" t="n">
        <v>9.61</v>
      </c>
      <c r="N145" s="22" t="inlineStr">
        <is>
          <t>Profitable</t>
        </is>
      </c>
      <c r="O145" s="23" t="inlineStr">
        <is>
          <t>Privately Held (backing)</t>
        </is>
      </c>
      <c r="P145" s="24" t="inlineStr">
        <is>
          <t>Venture Capital, M&amp;A</t>
        </is>
      </c>
      <c r="Q145" s="25" t="inlineStr">
        <is>
          <t>www.bossastudios.com</t>
        </is>
      </c>
      <c r="R145" s="26" t="n">
        <v>30.0</v>
      </c>
      <c r="S145" s="27" t="inlineStr">
        <is>
          <t/>
        </is>
      </c>
      <c r="T145" s="28" t="inlineStr">
        <is>
          <t/>
        </is>
      </c>
      <c r="U145" s="29" t="n">
        <v>2010.0</v>
      </c>
      <c r="V145" s="30" t="inlineStr">
        <is>
          <t/>
        </is>
      </c>
      <c r="W145" s="31" t="inlineStr">
        <is>
          <t/>
        </is>
      </c>
      <c r="X145" s="32" t="inlineStr">
        <is>
          <t/>
        </is>
      </c>
      <c r="Y145" s="33" t="n">
        <v>3.79425</v>
      </c>
      <c r="Z145" s="34" t="n">
        <v>0.9118</v>
      </c>
      <c r="AA145" s="35" t="n">
        <v>-0.59561</v>
      </c>
      <c r="AB145" s="36" t="inlineStr">
        <is>
          <t/>
        </is>
      </c>
      <c r="AC145" s="37" t="n">
        <v>-0.27942</v>
      </c>
      <c r="AD145" s="38" t="inlineStr">
        <is>
          <t>FY 2014</t>
        </is>
      </c>
      <c r="AE145" s="39" t="inlineStr">
        <is>
          <t>109243-81P</t>
        </is>
      </c>
      <c r="AF145" s="40" t="inlineStr">
        <is>
          <t>Imre Jele</t>
        </is>
      </c>
      <c r="AG145" s="41" t="inlineStr">
        <is>
          <t>Co-Founder &amp; Creator-In-Chief</t>
        </is>
      </c>
      <c r="AH145" s="42" t="inlineStr">
        <is>
          <t>jele@bossastudios.com</t>
        </is>
      </c>
      <c r="AI145" s="43" t="inlineStr">
        <is>
          <t/>
        </is>
      </c>
      <c r="AJ145" s="44" t="inlineStr">
        <is>
          <t>London, United Kingdom</t>
        </is>
      </c>
      <c r="AK145" s="45" t="inlineStr">
        <is>
          <t>Zetland House</t>
        </is>
      </c>
      <c r="AL145" s="46" t="inlineStr">
        <is>
          <t>2nd Floor, Unit E, 5-25 Scrutton Street</t>
        </is>
      </c>
      <c r="AM145" s="47" t="inlineStr">
        <is>
          <t>London</t>
        </is>
      </c>
      <c r="AN145" s="48" t="inlineStr">
        <is>
          <t>England</t>
        </is>
      </c>
      <c r="AO145" s="49" t="inlineStr">
        <is>
          <t>EC2A 4HJ</t>
        </is>
      </c>
      <c r="AP145" s="50" t="inlineStr">
        <is>
          <t>United Kingdom</t>
        </is>
      </c>
      <c r="AQ145" s="51" t="inlineStr">
        <is>
          <t/>
        </is>
      </c>
      <c r="AR145" s="52" t="inlineStr">
        <is>
          <t/>
        </is>
      </c>
      <c r="AS145" s="53" t="inlineStr">
        <is>
          <t>info@bossastudios.com</t>
        </is>
      </c>
      <c r="AT145" s="54" t="inlineStr">
        <is>
          <t>Europe</t>
        </is>
      </c>
      <c r="AU145" s="55" t="inlineStr">
        <is>
          <t>Western Europe</t>
        </is>
      </c>
      <c r="AV145" s="56" t="inlineStr">
        <is>
          <t>The company raised $10 million of Series A venture funding in a deal led by Atomico on September 12, 2017. London Venture Partners also participated in this round. The funding will be used to hire new talent and to introduce artificial intelligence and more user-generated content into the game development process as well as and the public launch of their new game Worlds Adrift.</t>
        </is>
      </c>
      <c r="AW145" s="57" t="inlineStr">
        <is>
          <t>Atomico, London Venture Partners</t>
        </is>
      </c>
      <c r="AX145" s="58" t="n">
        <v>2.0</v>
      </c>
      <c r="AY145" s="59" t="inlineStr">
        <is>
          <t/>
        </is>
      </c>
      <c r="AZ145" s="60" t="inlineStr">
        <is>
          <t>Shine Group</t>
        </is>
      </c>
      <c r="BA145" s="61" t="inlineStr">
        <is>
          <t/>
        </is>
      </c>
      <c r="BB145" s="62" t="inlineStr">
        <is>
          <t>Atomico (www.atomico.com), London Venture Partners (www.londonvp.com)</t>
        </is>
      </c>
      <c r="BC145" s="63" t="inlineStr">
        <is>
          <t>Shine Group (www.shinegroup.tv)</t>
        </is>
      </c>
      <c r="BD145" s="64" t="inlineStr">
        <is>
          <t/>
        </is>
      </c>
      <c r="BE145" s="65" t="inlineStr">
        <is>
          <t/>
        </is>
      </c>
      <c r="BF145" s="66" t="inlineStr">
        <is>
          <t>Olswang (Legal Advisor), Bolt Burdon (Legal Advisor)</t>
        </is>
      </c>
      <c r="BG145" s="67" t="n">
        <v>40802.0</v>
      </c>
      <c r="BH145" s="68" t="inlineStr">
        <is>
          <t/>
        </is>
      </c>
      <c r="BI145" s="69" t="inlineStr">
        <is>
          <t/>
        </is>
      </c>
      <c r="BJ145" s="70" t="inlineStr">
        <is>
          <t/>
        </is>
      </c>
      <c r="BK145" s="71" t="inlineStr">
        <is>
          <t/>
        </is>
      </c>
      <c r="BL145" s="72" t="inlineStr">
        <is>
          <t>Merger/Acquisition</t>
        </is>
      </c>
      <c r="BM145" s="73" t="inlineStr">
        <is>
          <t/>
        </is>
      </c>
      <c r="BN145" s="74" t="inlineStr">
        <is>
          <t/>
        </is>
      </c>
      <c r="BO145" s="75" t="inlineStr">
        <is>
          <t>Corporate</t>
        </is>
      </c>
      <c r="BP145" s="76" t="inlineStr">
        <is>
          <t/>
        </is>
      </c>
      <c r="BQ145" s="77" t="inlineStr">
        <is>
          <t/>
        </is>
      </c>
      <c r="BR145" s="78" t="inlineStr">
        <is>
          <t/>
        </is>
      </c>
      <c r="BS145" s="79" t="inlineStr">
        <is>
          <t>Completed</t>
        </is>
      </c>
      <c r="BT145" s="80" t="n">
        <v>42990.0</v>
      </c>
      <c r="BU145" s="81" t="n">
        <v>8.39</v>
      </c>
      <c r="BV145" s="82" t="inlineStr">
        <is>
          <t>Actual</t>
        </is>
      </c>
      <c r="BW145" s="83" t="inlineStr">
        <is>
          <t/>
        </is>
      </c>
      <c r="BX145" s="84" t="inlineStr">
        <is>
          <t/>
        </is>
      </c>
      <c r="BY145" s="85" t="inlineStr">
        <is>
          <t>Later Stage VC</t>
        </is>
      </c>
      <c r="BZ145" s="86" t="inlineStr">
        <is>
          <t>Series A</t>
        </is>
      </c>
      <c r="CA145" s="87" t="inlineStr">
        <is>
          <t/>
        </is>
      </c>
      <c r="CB145" s="88" t="inlineStr">
        <is>
          <t>Venture Capital</t>
        </is>
      </c>
      <c r="CC145" s="89" t="inlineStr">
        <is>
          <t/>
        </is>
      </c>
      <c r="CD145" s="90" t="inlineStr">
        <is>
          <t/>
        </is>
      </c>
      <c r="CE145" s="91" t="inlineStr">
        <is>
          <t/>
        </is>
      </c>
      <c r="CF145" s="92" t="inlineStr">
        <is>
          <t>Completed</t>
        </is>
      </c>
      <c r="CG145" s="93" t="inlineStr">
        <is>
          <t>-4,90%</t>
        </is>
      </c>
      <c r="CH145" s="94" t="inlineStr">
        <is>
          <t>4</t>
        </is>
      </c>
      <c r="CI145" s="95" t="inlineStr">
        <is>
          <t>-0,09%</t>
        </is>
      </c>
      <c r="CJ145" s="96" t="inlineStr">
        <is>
          <t>-1,77%</t>
        </is>
      </c>
      <c r="CK145" s="97" t="inlineStr">
        <is>
          <t>-9,89%</t>
        </is>
      </c>
      <c r="CL145" s="98" t="inlineStr">
        <is>
          <t>3</t>
        </is>
      </c>
      <c r="CM145" s="99" t="inlineStr">
        <is>
          <t>0,09%</t>
        </is>
      </c>
      <c r="CN145" s="100" t="inlineStr">
        <is>
          <t>57</t>
        </is>
      </c>
      <c r="CO145" s="101" t="inlineStr">
        <is>
          <t>-19,51%</t>
        </is>
      </c>
      <c r="CP145" s="102" t="inlineStr">
        <is>
          <t>6</t>
        </is>
      </c>
      <c r="CQ145" s="103" t="inlineStr">
        <is>
          <t>-0,27%</t>
        </is>
      </c>
      <c r="CR145" s="104" t="inlineStr">
        <is>
          <t>18</t>
        </is>
      </c>
      <c r="CS145" s="105" t="inlineStr">
        <is>
          <t>0,10%</t>
        </is>
      </c>
      <c r="CT145" s="106" t="inlineStr">
        <is>
          <t>56</t>
        </is>
      </c>
      <c r="CU145" s="107" t="inlineStr">
        <is>
          <t>0,08%</t>
        </is>
      </c>
      <c r="CV145" s="108" t="inlineStr">
        <is>
          <t>63</t>
        </is>
      </c>
      <c r="CW145" s="109" t="inlineStr">
        <is>
          <t>21,60x</t>
        </is>
      </c>
      <c r="CX145" s="110" t="inlineStr">
        <is>
          <t>93</t>
        </is>
      </c>
      <c r="CY145" s="111" t="inlineStr">
        <is>
          <t>-0,16x</t>
        </is>
      </c>
      <c r="CZ145" s="112" t="inlineStr">
        <is>
          <t>-0,75%</t>
        </is>
      </c>
      <c r="DA145" s="113" t="inlineStr">
        <is>
          <t>16,81x</t>
        </is>
      </c>
      <c r="DB145" s="114" t="inlineStr">
        <is>
          <t>93</t>
        </is>
      </c>
      <c r="DC145" s="115" t="inlineStr">
        <is>
          <t>26,38x</t>
        </is>
      </c>
      <c r="DD145" s="116" t="inlineStr">
        <is>
          <t>91</t>
        </is>
      </c>
      <c r="DE145" s="117" t="inlineStr">
        <is>
          <t>9,32x</t>
        </is>
      </c>
      <c r="DF145" s="118" t="inlineStr">
        <is>
          <t>87</t>
        </is>
      </c>
      <c r="DG145" s="119" t="inlineStr">
        <is>
          <t>24,31x</t>
        </is>
      </c>
      <c r="DH145" s="120" t="inlineStr">
        <is>
          <t>94</t>
        </is>
      </c>
      <c r="DI145" s="121" t="inlineStr">
        <is>
          <t>5,32x</t>
        </is>
      </c>
      <c r="DJ145" s="122" t="inlineStr">
        <is>
          <t>75</t>
        </is>
      </c>
      <c r="DK145" s="123" t="inlineStr">
        <is>
          <t>47,44x</t>
        </is>
      </c>
      <c r="DL145" s="124" t="inlineStr">
        <is>
          <t>96</t>
        </is>
      </c>
      <c r="DM145" s="125" t="inlineStr">
        <is>
          <t>3.547</t>
        </is>
      </c>
      <c r="DN145" s="126" t="inlineStr">
        <is>
          <t>-449</t>
        </is>
      </c>
      <c r="DO145" s="127" t="inlineStr">
        <is>
          <t>-11,24%</t>
        </is>
      </c>
      <c r="DP145" s="128" t="inlineStr">
        <is>
          <t>4.219</t>
        </is>
      </c>
      <c r="DQ145" s="129" t="inlineStr">
        <is>
          <t>-2</t>
        </is>
      </c>
      <c r="DR145" s="130" t="inlineStr">
        <is>
          <t>-0,05%</t>
        </is>
      </c>
      <c r="DS145" s="131" t="inlineStr">
        <is>
          <t>876</t>
        </is>
      </c>
      <c r="DT145" s="132" t="inlineStr">
        <is>
          <t>-3</t>
        </is>
      </c>
      <c r="DU145" s="133" t="inlineStr">
        <is>
          <t>-0,34%</t>
        </is>
      </c>
      <c r="DV145" s="134" t="inlineStr">
        <is>
          <t>17.742</t>
        </is>
      </c>
      <c r="DW145" s="135" t="inlineStr">
        <is>
          <t>8</t>
        </is>
      </c>
      <c r="DX145" s="136" t="inlineStr">
        <is>
          <t>0,05%</t>
        </is>
      </c>
      <c r="DY145" s="137" t="inlineStr">
        <is>
          <t>PitchBook Research</t>
        </is>
      </c>
      <c r="DZ145" s="785">
        <f>HYPERLINK("https://my.pitchbook.com?c=84286-00", "View company online")</f>
      </c>
    </row>
    <row r="146">
      <c r="A146" s="139" t="inlineStr">
        <is>
          <t>94430-53</t>
        </is>
      </c>
      <c r="B146" s="140" t="inlineStr">
        <is>
          <t>Odilo</t>
        </is>
      </c>
      <c r="C146" s="141" t="inlineStr">
        <is>
          <t/>
        </is>
      </c>
      <c r="D146" s="142" t="inlineStr">
        <is>
          <t/>
        </is>
      </c>
      <c r="E146" s="143" t="inlineStr">
        <is>
          <t>94430-53</t>
        </is>
      </c>
      <c r="F146" s="144" t="inlineStr">
        <is>
          <t>Provider of a digital content management platform designed for management, distribution, consumption, archiving and preservation of all types of digital content. The company's marketplace offers organizations to buy digital content to offer to their users on a loan, rental, or subscription basis.</t>
        </is>
      </c>
      <c r="G146" s="145" t="inlineStr">
        <is>
          <t>Consumer Products and Services (B2C)</t>
        </is>
      </c>
      <c r="H146" s="146" t="inlineStr">
        <is>
          <t>Media</t>
        </is>
      </c>
      <c r="I146" s="147" t="inlineStr">
        <is>
          <t>Publishing</t>
        </is>
      </c>
      <c r="J146" s="148" t="inlineStr">
        <is>
          <t>Publishing*; Other Software</t>
        </is>
      </c>
      <c r="K146" s="149" t="inlineStr">
        <is>
          <t>Mobile, SaaS</t>
        </is>
      </c>
      <c r="L146" s="150" t="inlineStr">
        <is>
          <t>Venture Capital-Backed</t>
        </is>
      </c>
      <c r="M146" s="151" t="n">
        <v>9.47</v>
      </c>
      <c r="N146" s="152" t="inlineStr">
        <is>
          <t>Generating Revenue</t>
        </is>
      </c>
      <c r="O146" s="153" t="inlineStr">
        <is>
          <t>Privately Held (backing)</t>
        </is>
      </c>
      <c r="P146" s="154" t="inlineStr">
        <is>
          <t>Venture Capital</t>
        </is>
      </c>
      <c r="Q146" s="155" t="inlineStr">
        <is>
          <t>www.odilo.es</t>
        </is>
      </c>
      <c r="R146" s="156" t="n">
        <v>30.0</v>
      </c>
      <c r="S146" s="157" t="inlineStr">
        <is>
          <t/>
        </is>
      </c>
      <c r="T146" s="158" t="inlineStr">
        <is>
          <t/>
        </is>
      </c>
      <c r="U146" s="159" t="n">
        <v>2011.0</v>
      </c>
      <c r="V146" s="160" t="inlineStr">
        <is>
          <t/>
        </is>
      </c>
      <c r="W146" s="161" t="inlineStr">
        <is>
          <t/>
        </is>
      </c>
      <c r="X146" s="162" t="inlineStr">
        <is>
          <t/>
        </is>
      </c>
      <c r="Y146" s="163" t="inlineStr">
        <is>
          <t/>
        </is>
      </c>
      <c r="Z146" s="164" t="inlineStr">
        <is>
          <t/>
        </is>
      </c>
      <c r="AA146" s="165" t="inlineStr">
        <is>
          <t/>
        </is>
      </c>
      <c r="AB146" s="166" t="inlineStr">
        <is>
          <t/>
        </is>
      </c>
      <c r="AC146" s="167" t="inlineStr">
        <is>
          <t/>
        </is>
      </c>
      <c r="AD146" s="168" t="inlineStr">
        <is>
          <t/>
        </is>
      </c>
      <c r="AE146" s="169" t="inlineStr">
        <is>
          <t>79501-69P</t>
        </is>
      </c>
      <c r="AF146" s="170" t="inlineStr">
        <is>
          <t>Rodrigo Lopez</t>
        </is>
      </c>
      <c r="AG146" s="171" t="inlineStr">
        <is>
          <t>Chief Executive Officer &amp; Founder</t>
        </is>
      </c>
      <c r="AH146" s="172" t="inlineStr">
        <is>
          <t>rrodriguez@odilotid.es</t>
        </is>
      </c>
      <c r="AI146" s="173" t="inlineStr">
        <is>
          <t>+34 91 513 8716</t>
        </is>
      </c>
      <c r="AJ146" s="174" t="inlineStr">
        <is>
          <t>Madrid, Spain</t>
        </is>
      </c>
      <c r="AK146" s="175" t="inlineStr">
        <is>
          <t>Velazquez 47, 5</t>
        </is>
      </c>
      <c r="AL146" s="176" t="inlineStr">
        <is>
          <t/>
        </is>
      </c>
      <c r="AM146" s="177" t="inlineStr">
        <is>
          <t>Madrid</t>
        </is>
      </c>
      <c r="AN146" s="178" t="inlineStr">
        <is>
          <t/>
        </is>
      </c>
      <c r="AO146" s="179" t="inlineStr">
        <is>
          <t>28001</t>
        </is>
      </c>
      <c r="AP146" s="180" t="inlineStr">
        <is>
          <t>Spain</t>
        </is>
      </c>
      <c r="AQ146" s="181" t="inlineStr">
        <is>
          <t>+34 91 513 8716</t>
        </is>
      </c>
      <c r="AR146" s="182" t="inlineStr">
        <is>
          <t/>
        </is>
      </c>
      <c r="AS146" s="183" t="inlineStr">
        <is>
          <t/>
        </is>
      </c>
      <c r="AT146" s="184" t="inlineStr">
        <is>
          <t>Europe</t>
        </is>
      </c>
      <c r="AU146" s="185" t="inlineStr">
        <is>
          <t>Southern Europe</t>
        </is>
      </c>
      <c r="AV146" s="186" t="inlineStr">
        <is>
          <t>The company raised EUR 6 million of Series C venture funding in a deal co-led by Kibo Ventures and JME Venture Capital on March 8, 2017. Active Venture Partners and Inveready also participated. The company will use the funding to support the launch of new products, accelerate the technological development of the company and continue international expansion.</t>
        </is>
      </c>
      <c r="AW146" s="187" t="inlineStr">
        <is>
          <t>Active Venture Partners, Empresa Nacional de Innovación, Inveready Technology Investment Group, JME Venture Capital, Kibo Ventures Partners, Wayra</t>
        </is>
      </c>
      <c r="AX146" s="188" t="n">
        <v>6.0</v>
      </c>
      <c r="AY146" s="189" t="inlineStr">
        <is>
          <t/>
        </is>
      </c>
      <c r="AZ146" s="190" t="inlineStr">
        <is>
          <t/>
        </is>
      </c>
      <c r="BA146" s="191" t="inlineStr">
        <is>
          <t/>
        </is>
      </c>
      <c r="BB146" s="192" t="inlineStr">
        <is>
          <t>Active Venture Partners (www.active-vp.com), Empresa Nacional de Innovación (www.enisa.es), Inveready Technology Investment Group (www.inveready.com), JME Venture Capital (www.jme.vc), Kibo Ventures Partners (www.kiboventures.com), Wayra (wayra.co)</t>
        </is>
      </c>
      <c r="BC146" s="193" t="inlineStr">
        <is>
          <t/>
        </is>
      </c>
      <c r="BD146" s="194" t="inlineStr">
        <is>
          <t/>
        </is>
      </c>
      <c r="BE146" s="195" t="inlineStr">
        <is>
          <t/>
        </is>
      </c>
      <c r="BF146" s="196" t="inlineStr">
        <is>
          <t/>
        </is>
      </c>
      <c r="BG146" s="197" t="n">
        <v>41901.0</v>
      </c>
      <c r="BH146" s="198" t="n">
        <v>2.17</v>
      </c>
      <c r="BI146" s="199" t="inlineStr">
        <is>
          <t>Actual</t>
        </is>
      </c>
      <c r="BJ146" s="200" t="inlineStr">
        <is>
          <t/>
        </is>
      </c>
      <c r="BK146" s="201" t="inlineStr">
        <is>
          <t/>
        </is>
      </c>
      <c r="BL146" s="202" t="inlineStr">
        <is>
          <t>Early Stage VC</t>
        </is>
      </c>
      <c r="BM146" s="203" t="inlineStr">
        <is>
          <t>Series A</t>
        </is>
      </c>
      <c r="BN146" s="204" t="inlineStr">
        <is>
          <t/>
        </is>
      </c>
      <c r="BO146" s="205" t="inlineStr">
        <is>
          <t>Venture Capital</t>
        </is>
      </c>
      <c r="BP146" s="206" t="inlineStr">
        <is>
          <t/>
        </is>
      </c>
      <c r="BQ146" s="207" t="inlineStr">
        <is>
          <t/>
        </is>
      </c>
      <c r="BR146" s="208" t="inlineStr">
        <is>
          <t/>
        </is>
      </c>
      <c r="BS146" s="209" t="inlineStr">
        <is>
          <t>Completed</t>
        </is>
      </c>
      <c r="BT146" s="210" t="n">
        <v>42802.0</v>
      </c>
      <c r="BU146" s="211" t="n">
        <v>6.0</v>
      </c>
      <c r="BV146" s="212" t="inlineStr">
        <is>
          <t>Actual</t>
        </is>
      </c>
      <c r="BW146" s="213" t="inlineStr">
        <is>
          <t/>
        </is>
      </c>
      <c r="BX146" s="214" t="inlineStr">
        <is>
          <t/>
        </is>
      </c>
      <c r="BY146" s="215" t="inlineStr">
        <is>
          <t>Later Stage VC</t>
        </is>
      </c>
      <c r="BZ146" s="216" t="inlineStr">
        <is>
          <t>Series C</t>
        </is>
      </c>
      <c r="CA146" s="217" t="inlineStr">
        <is>
          <t/>
        </is>
      </c>
      <c r="CB146" s="218" t="inlineStr">
        <is>
          <t>Venture Capital</t>
        </is>
      </c>
      <c r="CC146" s="219" t="inlineStr">
        <is>
          <t/>
        </is>
      </c>
      <c r="CD146" s="220" t="inlineStr">
        <is>
          <t/>
        </is>
      </c>
      <c r="CE146" s="221" t="inlineStr">
        <is>
          <t/>
        </is>
      </c>
      <c r="CF146" s="222" t="inlineStr">
        <is>
          <t>Completed</t>
        </is>
      </c>
      <c r="CG146" s="223" t="inlineStr">
        <is>
          <t>-1,89%</t>
        </is>
      </c>
      <c r="CH146" s="224" t="inlineStr">
        <is>
          <t>10</t>
        </is>
      </c>
      <c r="CI146" s="225" t="inlineStr">
        <is>
          <t>0,04%</t>
        </is>
      </c>
      <c r="CJ146" s="226" t="inlineStr">
        <is>
          <t>2,02%</t>
        </is>
      </c>
      <c r="CK146" s="227" t="inlineStr">
        <is>
          <t>-4,11%</t>
        </is>
      </c>
      <c r="CL146" s="228" t="inlineStr">
        <is>
          <t>9</t>
        </is>
      </c>
      <c r="CM146" s="229" t="inlineStr">
        <is>
          <t>0,34%</t>
        </is>
      </c>
      <c r="CN146" s="230" t="inlineStr">
        <is>
          <t>82</t>
        </is>
      </c>
      <c r="CO146" s="231" t="inlineStr">
        <is>
          <t>-6,99%</t>
        </is>
      </c>
      <c r="CP146" s="232" t="inlineStr">
        <is>
          <t>17</t>
        </is>
      </c>
      <c r="CQ146" s="233" t="inlineStr">
        <is>
          <t>-1,23%</t>
        </is>
      </c>
      <c r="CR146" s="234" t="inlineStr">
        <is>
          <t>7</t>
        </is>
      </c>
      <c r="CS146" s="235" t="inlineStr">
        <is>
          <t>0,29%</t>
        </is>
      </c>
      <c r="CT146" s="236" t="inlineStr">
        <is>
          <t>77</t>
        </is>
      </c>
      <c r="CU146" s="237" t="inlineStr">
        <is>
          <t>0,39%</t>
        </is>
      </c>
      <c r="CV146" s="238" t="inlineStr">
        <is>
          <t>87</t>
        </is>
      </c>
      <c r="CW146" s="239" t="inlineStr">
        <is>
          <t>3,41x</t>
        </is>
      </c>
      <c r="CX146" s="240" t="inlineStr">
        <is>
          <t>74</t>
        </is>
      </c>
      <c r="CY146" s="241" t="inlineStr">
        <is>
          <t>-0,03x</t>
        </is>
      </c>
      <c r="CZ146" s="242" t="inlineStr">
        <is>
          <t>-0,84%</t>
        </is>
      </c>
      <c r="DA146" s="243" t="inlineStr">
        <is>
          <t>4,33x</t>
        </is>
      </c>
      <c r="DB146" s="244" t="inlineStr">
        <is>
          <t>79</t>
        </is>
      </c>
      <c r="DC146" s="245" t="inlineStr">
        <is>
          <t>2,48x</t>
        </is>
      </c>
      <c r="DD146" s="246" t="inlineStr">
        <is>
          <t>66</t>
        </is>
      </c>
      <c r="DE146" s="247" t="inlineStr">
        <is>
          <t>2,02x</t>
        </is>
      </c>
      <c r="DF146" s="248" t="inlineStr">
        <is>
          <t>66</t>
        </is>
      </c>
      <c r="DG146" s="249" t="inlineStr">
        <is>
          <t>6,64x</t>
        </is>
      </c>
      <c r="DH146" s="250" t="inlineStr">
        <is>
          <t>82</t>
        </is>
      </c>
      <c r="DI146" s="251" t="inlineStr">
        <is>
          <t>0,83x</t>
        </is>
      </c>
      <c r="DJ146" s="252" t="inlineStr">
        <is>
          <t>47</t>
        </is>
      </c>
      <c r="DK146" s="253" t="inlineStr">
        <is>
          <t>4,14x</t>
        </is>
      </c>
      <c r="DL146" s="254" t="inlineStr">
        <is>
          <t>76</t>
        </is>
      </c>
      <c r="DM146" s="255" t="inlineStr">
        <is>
          <t>793</t>
        </is>
      </c>
      <c r="DN146" s="256" t="inlineStr">
        <is>
          <t>-134</t>
        </is>
      </c>
      <c r="DO146" s="257" t="inlineStr">
        <is>
          <t>-14,46%</t>
        </is>
      </c>
      <c r="DP146" s="258" t="inlineStr">
        <is>
          <t>657</t>
        </is>
      </c>
      <c r="DQ146" s="259" t="inlineStr">
        <is>
          <t>3</t>
        </is>
      </c>
      <c r="DR146" s="260" t="inlineStr">
        <is>
          <t>0,46%</t>
        </is>
      </c>
      <c r="DS146" s="261" t="inlineStr">
        <is>
          <t>240</t>
        </is>
      </c>
      <c r="DT146" s="262" t="inlineStr">
        <is>
          <t>-3</t>
        </is>
      </c>
      <c r="DU146" s="263" t="inlineStr">
        <is>
          <t>-1,23%</t>
        </is>
      </c>
      <c r="DV146" s="264" t="inlineStr">
        <is>
          <t>1.545</t>
        </is>
      </c>
      <c r="DW146" s="265" t="inlineStr">
        <is>
          <t>9</t>
        </is>
      </c>
      <c r="DX146" s="266" t="inlineStr">
        <is>
          <t>0,59%</t>
        </is>
      </c>
      <c r="DY146" s="267" t="inlineStr">
        <is>
          <t>PitchBook Research</t>
        </is>
      </c>
      <c r="DZ146" s="786">
        <f>HYPERLINK("https://my.pitchbook.com?c=94430-53", "View company online")</f>
      </c>
    </row>
    <row r="147">
      <c r="A147" s="9" t="inlineStr">
        <is>
          <t>95981-77</t>
        </is>
      </c>
      <c r="B147" s="10" t="inlineStr">
        <is>
          <t>MotorK</t>
        </is>
      </c>
      <c r="C147" s="11" t="inlineStr">
        <is>
          <t/>
        </is>
      </c>
      <c r="D147" s="12" t="inlineStr">
        <is>
          <t/>
        </is>
      </c>
      <c r="E147" s="13" t="inlineStr">
        <is>
          <t>95981-77</t>
        </is>
      </c>
      <c r="F147" s="14" t="inlineStr">
        <is>
          <t>Provider of digital products designed to revolutionize the creation, management and conversion of leads in the automotive sector. The company's digital products includes a new car sales platform that lets users to select, configure and compare new car models in the market, enabling dealers to sell more auto vehicles, build online presence and offer better car buying experience to consumers.</t>
        </is>
      </c>
      <c r="G147" s="15" t="inlineStr">
        <is>
          <t>Information Technology</t>
        </is>
      </c>
      <c r="H147" s="16" t="inlineStr">
        <is>
          <t>Software</t>
        </is>
      </c>
      <c r="I147" s="17" t="inlineStr">
        <is>
          <t>Business/Productivity Software</t>
        </is>
      </c>
      <c r="J147" s="18" t="inlineStr">
        <is>
          <t>Business/Productivity Software*; Road</t>
        </is>
      </c>
      <c r="K147" s="19" t="inlineStr">
        <is>
          <t>SaaS</t>
        </is>
      </c>
      <c r="L147" s="20" t="inlineStr">
        <is>
          <t>Venture Capital-Backed</t>
        </is>
      </c>
      <c r="M147" s="21" t="n">
        <v>9.36</v>
      </c>
      <c r="N147" s="22" t="inlineStr">
        <is>
          <t>Profitable</t>
        </is>
      </c>
      <c r="O147" s="23" t="inlineStr">
        <is>
          <t>Privately Held (backing)</t>
        </is>
      </c>
      <c r="P147" s="24" t="inlineStr">
        <is>
          <t>Venture Capital, M&amp;A</t>
        </is>
      </c>
      <c r="Q147" s="25" t="inlineStr">
        <is>
          <t>www.motork.io</t>
        </is>
      </c>
      <c r="R147" s="26" t="n">
        <v>200.0</v>
      </c>
      <c r="S147" s="27" t="inlineStr">
        <is>
          <t/>
        </is>
      </c>
      <c r="T147" s="28" t="inlineStr">
        <is>
          <t/>
        </is>
      </c>
      <c r="U147" s="29" t="inlineStr">
        <is>
          <t/>
        </is>
      </c>
      <c r="V147" s="30" t="inlineStr">
        <is>
          <t/>
        </is>
      </c>
      <c r="W147" s="31" t="inlineStr">
        <is>
          <t/>
        </is>
      </c>
      <c r="X147" s="32" t="inlineStr">
        <is>
          <t/>
        </is>
      </c>
      <c r="Y147" s="33" t="n">
        <v>5.51238</v>
      </c>
      <c r="Z147" s="34" t="inlineStr">
        <is>
          <t/>
        </is>
      </c>
      <c r="AA147" s="35" t="inlineStr">
        <is>
          <t/>
        </is>
      </c>
      <c r="AB147" s="36" t="inlineStr">
        <is>
          <t/>
        </is>
      </c>
      <c r="AC147" s="37" t="inlineStr">
        <is>
          <t/>
        </is>
      </c>
      <c r="AD147" s="38" t="inlineStr">
        <is>
          <t>FY 2015</t>
        </is>
      </c>
      <c r="AE147" s="39" t="inlineStr">
        <is>
          <t>104865-94P</t>
        </is>
      </c>
      <c r="AF147" s="40" t="inlineStr">
        <is>
          <t>Corrado Barlocco</t>
        </is>
      </c>
      <c r="AG147" s="41" t="inlineStr">
        <is>
          <t>Chief Financial Officer</t>
        </is>
      </c>
      <c r="AH147" s="42" t="inlineStr">
        <is>
          <t>corrado.barlocco@drivek.it</t>
        </is>
      </c>
      <c r="AI147" s="43" t="inlineStr">
        <is>
          <t>+39 02 3675 8637</t>
        </is>
      </c>
      <c r="AJ147" s="44" t="inlineStr">
        <is>
          <t>Milan, Italy</t>
        </is>
      </c>
      <c r="AK147" s="45" t="inlineStr">
        <is>
          <t>Via Ludovico D'Aragona, 9</t>
        </is>
      </c>
      <c r="AL147" s="46" t="inlineStr">
        <is>
          <t/>
        </is>
      </c>
      <c r="AM147" s="47" t="inlineStr">
        <is>
          <t>Milan</t>
        </is>
      </c>
      <c r="AN147" s="48" t="inlineStr">
        <is>
          <t/>
        </is>
      </c>
      <c r="AO147" s="49" t="inlineStr">
        <is>
          <t>20132</t>
        </is>
      </c>
      <c r="AP147" s="50" t="inlineStr">
        <is>
          <t>Italy</t>
        </is>
      </c>
      <c r="AQ147" s="51" t="inlineStr">
        <is>
          <t>+39 02 3675 8637</t>
        </is>
      </c>
      <c r="AR147" s="52" t="inlineStr">
        <is>
          <t>+39 02 9366 0365</t>
        </is>
      </c>
      <c r="AS147" s="53" t="inlineStr">
        <is>
          <t>italy@motork.io</t>
        </is>
      </c>
      <c r="AT147" s="54" t="inlineStr">
        <is>
          <t>Europe</t>
        </is>
      </c>
      <c r="AU147" s="55" t="inlineStr">
        <is>
          <t>Southern Europe</t>
        </is>
      </c>
      <c r="AV147" s="56" t="inlineStr">
        <is>
          <t>The company raised $10 million of Series A2 venture funding in a deal led by 83North and Zobito on March 23, 2017. Other undisclosed investors also participated in this round. The funding will be used by the company to enter to other European markets, expand its international team and further develop the technology.</t>
        </is>
      </c>
      <c r="AW147" s="57" t="inlineStr">
        <is>
          <t>83North, Zobito</t>
        </is>
      </c>
      <c r="AX147" s="58" t="n">
        <v>2.0</v>
      </c>
      <c r="AY147" s="59" t="inlineStr">
        <is>
          <t/>
        </is>
      </c>
      <c r="AZ147" s="60" t="inlineStr">
        <is>
          <t/>
        </is>
      </c>
      <c r="BA147" s="61" t="inlineStr">
        <is>
          <t/>
        </is>
      </c>
      <c r="BB147" s="62" t="inlineStr">
        <is>
          <t>83North (www.83north.com), Zobito (www.zobito.com)</t>
        </is>
      </c>
      <c r="BC147" s="63" t="inlineStr">
        <is>
          <t/>
        </is>
      </c>
      <c r="BD147" s="64" t="inlineStr">
        <is>
          <t/>
        </is>
      </c>
      <c r="BE147" s="65" t="inlineStr">
        <is>
          <t>JAG Shaw Baker (Legal Advisor)</t>
        </is>
      </c>
      <c r="BF147" s="66" t="inlineStr">
        <is>
          <t/>
        </is>
      </c>
      <c r="BG147" s="67" t="n">
        <v>39829.0</v>
      </c>
      <c r="BH147" s="68" t="inlineStr">
        <is>
          <t/>
        </is>
      </c>
      <c r="BI147" s="69" t="inlineStr">
        <is>
          <t/>
        </is>
      </c>
      <c r="BJ147" s="70" t="inlineStr">
        <is>
          <t/>
        </is>
      </c>
      <c r="BK147" s="71" t="inlineStr">
        <is>
          <t/>
        </is>
      </c>
      <c r="BL147" s="72" t="inlineStr">
        <is>
          <t>Seed Round</t>
        </is>
      </c>
      <c r="BM147" s="73" t="inlineStr">
        <is>
          <t>Seed</t>
        </is>
      </c>
      <c r="BN147" s="74" t="inlineStr">
        <is>
          <t/>
        </is>
      </c>
      <c r="BO147" s="75" t="inlineStr">
        <is>
          <t>Corporate</t>
        </is>
      </c>
      <c r="BP147" s="76" t="inlineStr">
        <is>
          <t/>
        </is>
      </c>
      <c r="BQ147" s="77" t="inlineStr">
        <is>
          <t/>
        </is>
      </c>
      <c r="BR147" s="78" t="inlineStr">
        <is>
          <t/>
        </is>
      </c>
      <c r="BS147" s="79" t="inlineStr">
        <is>
          <t>Completed</t>
        </is>
      </c>
      <c r="BT147" s="80" t="n">
        <v>42817.0</v>
      </c>
      <c r="BU147" s="81" t="n">
        <v>9.36</v>
      </c>
      <c r="BV147" s="82" t="inlineStr">
        <is>
          <t>Actual</t>
        </is>
      </c>
      <c r="BW147" s="83" t="inlineStr">
        <is>
          <t/>
        </is>
      </c>
      <c r="BX147" s="84" t="inlineStr">
        <is>
          <t/>
        </is>
      </c>
      <c r="BY147" s="85" t="inlineStr">
        <is>
          <t>Later Stage VC</t>
        </is>
      </c>
      <c r="BZ147" s="86" t="inlineStr">
        <is>
          <t>Series A2</t>
        </is>
      </c>
      <c r="CA147" s="87" t="inlineStr">
        <is>
          <t/>
        </is>
      </c>
      <c r="CB147" s="88" t="inlineStr">
        <is>
          <t>Venture Capital</t>
        </is>
      </c>
      <c r="CC147" s="89" t="inlineStr">
        <is>
          <t/>
        </is>
      </c>
      <c r="CD147" s="90" t="inlineStr">
        <is>
          <t/>
        </is>
      </c>
      <c r="CE147" s="91" t="inlineStr">
        <is>
          <t/>
        </is>
      </c>
      <c r="CF147" s="92" t="inlineStr">
        <is>
          <t>Completed</t>
        </is>
      </c>
      <c r="CG147" s="93" t="inlineStr">
        <is>
          <t>0,75%</t>
        </is>
      </c>
      <c r="CH147" s="94" t="inlineStr">
        <is>
          <t>94</t>
        </is>
      </c>
      <c r="CI147" s="95" t="inlineStr">
        <is>
          <t>-0,05%</t>
        </is>
      </c>
      <c r="CJ147" s="96" t="inlineStr">
        <is>
          <t>-6,18%</t>
        </is>
      </c>
      <c r="CK147" s="97" t="inlineStr">
        <is>
          <t>0,08%</t>
        </is>
      </c>
      <c r="CL147" s="98" t="inlineStr">
        <is>
          <t>91</t>
        </is>
      </c>
      <c r="CM147" s="99" t="inlineStr">
        <is>
          <t>1,41%</t>
        </is>
      </c>
      <c r="CN147" s="100" t="inlineStr">
        <is>
          <t>97</t>
        </is>
      </c>
      <c r="CO147" s="101" t="inlineStr">
        <is>
          <t/>
        </is>
      </c>
      <c r="CP147" s="102" t="inlineStr">
        <is>
          <t/>
        </is>
      </c>
      <c r="CQ147" s="103" t="inlineStr">
        <is>
          <t>0,08%</t>
        </is>
      </c>
      <c r="CR147" s="104" t="inlineStr">
        <is>
          <t>89</t>
        </is>
      </c>
      <c r="CS147" s="105" t="inlineStr">
        <is>
          <t>1,23%</t>
        </is>
      </c>
      <c r="CT147" s="106" t="inlineStr">
        <is>
          <t>96</t>
        </is>
      </c>
      <c r="CU147" s="107" t="inlineStr">
        <is>
          <t>1,59%</t>
        </is>
      </c>
      <c r="CV147" s="108" t="inlineStr">
        <is>
          <t>98</t>
        </is>
      </c>
      <c r="CW147" s="109" t="inlineStr">
        <is>
          <t>2,64x</t>
        </is>
      </c>
      <c r="CX147" s="110" t="inlineStr">
        <is>
          <t>70</t>
        </is>
      </c>
      <c r="CY147" s="111" t="inlineStr">
        <is>
          <t>0,00x</t>
        </is>
      </c>
      <c r="CZ147" s="112" t="inlineStr">
        <is>
          <t>0,03%</t>
        </is>
      </c>
      <c r="DA147" s="113" t="inlineStr">
        <is>
          <t>4,56x</t>
        </is>
      </c>
      <c r="DB147" s="114" t="inlineStr">
        <is>
          <t>80</t>
        </is>
      </c>
      <c r="DC147" s="115" t="inlineStr">
        <is>
          <t>0,72x</t>
        </is>
      </c>
      <c r="DD147" s="116" t="inlineStr">
        <is>
          <t>42</t>
        </is>
      </c>
      <c r="DE147" s="117" t="inlineStr">
        <is>
          <t/>
        </is>
      </c>
      <c r="DF147" s="118" t="inlineStr">
        <is>
          <t/>
        </is>
      </c>
      <c r="DG147" s="119" t="inlineStr">
        <is>
          <t>4,56x</t>
        </is>
      </c>
      <c r="DH147" s="120" t="inlineStr">
        <is>
          <t>78</t>
        </is>
      </c>
      <c r="DI147" s="121" t="inlineStr">
        <is>
          <t>0,87x</t>
        </is>
      </c>
      <c r="DJ147" s="122" t="inlineStr">
        <is>
          <t>48</t>
        </is>
      </c>
      <c r="DK147" s="123" t="inlineStr">
        <is>
          <t>0,57x</t>
        </is>
      </c>
      <c r="DL147" s="124" t="inlineStr">
        <is>
          <t>40</t>
        </is>
      </c>
      <c r="DM147" s="125" t="inlineStr">
        <is>
          <t/>
        </is>
      </c>
      <c r="DN147" s="126" t="inlineStr">
        <is>
          <t/>
        </is>
      </c>
      <c r="DO147" s="127" t="inlineStr">
        <is>
          <t/>
        </is>
      </c>
      <c r="DP147" s="128" t="inlineStr">
        <is>
          <t>685</t>
        </is>
      </c>
      <c r="DQ147" s="129" t="inlineStr">
        <is>
          <t>9</t>
        </is>
      </c>
      <c r="DR147" s="130" t="inlineStr">
        <is>
          <t>1,33%</t>
        </is>
      </c>
      <c r="DS147" s="131" t="inlineStr">
        <is>
          <t>164</t>
        </is>
      </c>
      <c r="DT147" s="132" t="inlineStr">
        <is>
          <t>0</t>
        </is>
      </c>
      <c r="DU147" s="133" t="inlineStr">
        <is>
          <t>0,00%</t>
        </is>
      </c>
      <c r="DV147" s="134" t="inlineStr">
        <is>
          <t>211</t>
        </is>
      </c>
      <c r="DW147" s="135" t="inlineStr">
        <is>
          <t>7</t>
        </is>
      </c>
      <c r="DX147" s="136" t="inlineStr">
        <is>
          <t>3,43%</t>
        </is>
      </c>
      <c r="DY147" s="137" t="inlineStr">
        <is>
          <t>PitchBook Research</t>
        </is>
      </c>
      <c r="DZ147" s="785">
        <f>HYPERLINK("https://my.pitchbook.com?c=95981-77", "View company online")</f>
      </c>
    </row>
    <row r="148">
      <c r="A148" s="139" t="inlineStr">
        <is>
          <t>100569-70</t>
        </is>
      </c>
      <c r="B148" s="140" t="inlineStr">
        <is>
          <t>LogPoint</t>
        </is>
      </c>
      <c r="C148" s="141" t="inlineStr">
        <is>
          <t/>
        </is>
      </c>
      <c r="D148" s="142" t="inlineStr">
        <is>
          <t/>
        </is>
      </c>
      <c r="E148" s="143" t="inlineStr">
        <is>
          <t>100569-70</t>
        </is>
      </c>
      <c r="F148" s="144" t="inlineStr">
        <is>
          <t>Developer of a next-generation security information, event management and big data analytics platform designed to simplify information technology processes and adhere to compliance. The company's next-generation security information, event management and big data analytics platform provides reporting templates for compliance, dashboards to manage critical events and security incidents in real-time along with built-in scaling architecture enabling finance, healthcare, defense and aerospace and government sectors enterprises to monitor their networks and rapidly detect and respond to cybersecurity threats including auditing guidelines, ISO standards, UK GPG13 and the European Union GDPR.</t>
        </is>
      </c>
      <c r="G148" s="145" t="inlineStr">
        <is>
          <t>Information Technology</t>
        </is>
      </c>
      <c r="H148" s="146" t="inlineStr">
        <is>
          <t>Software</t>
        </is>
      </c>
      <c r="I148" s="147" t="inlineStr">
        <is>
          <t>Network Management Software</t>
        </is>
      </c>
      <c r="J148" s="148" t="inlineStr">
        <is>
          <t>Network Management Software*; Business/Productivity Software</t>
        </is>
      </c>
      <c r="K148" s="149" t="inlineStr">
        <is>
          <t>Big Data, Cybersecurity, SaaS</t>
        </is>
      </c>
      <c r="L148" s="150" t="inlineStr">
        <is>
          <t>Venture Capital-Backed</t>
        </is>
      </c>
      <c r="M148" s="151" t="n">
        <v>9.35</v>
      </c>
      <c r="N148" s="152" t="inlineStr">
        <is>
          <t>Generating Revenue/Not Profitable</t>
        </is>
      </c>
      <c r="O148" s="153" t="inlineStr">
        <is>
          <t>Privately Held (backing)</t>
        </is>
      </c>
      <c r="P148" s="154" t="inlineStr">
        <is>
          <t>Venture Capital</t>
        </is>
      </c>
      <c r="Q148" s="155" t="inlineStr">
        <is>
          <t>www.logpoint.com</t>
        </is>
      </c>
      <c r="R148" s="156" t="n">
        <v>100.0</v>
      </c>
      <c r="S148" s="157" t="inlineStr">
        <is>
          <t/>
        </is>
      </c>
      <c r="T148" s="158" t="inlineStr">
        <is>
          <t/>
        </is>
      </c>
      <c r="U148" s="159" t="n">
        <v>2001.0</v>
      </c>
      <c r="V148" s="160" t="inlineStr">
        <is>
          <t/>
        </is>
      </c>
      <c r="W148" s="161" t="inlineStr">
        <is>
          <t/>
        </is>
      </c>
      <c r="X148" s="162" t="inlineStr">
        <is>
          <t/>
        </is>
      </c>
      <c r="Y148" s="163" t="inlineStr">
        <is>
          <t/>
        </is>
      </c>
      <c r="Z148" s="164" t="n">
        <v>1.79284</v>
      </c>
      <c r="AA148" s="165" t="n">
        <v>-0.46481</v>
      </c>
      <c r="AB148" s="166" t="inlineStr">
        <is>
          <t/>
        </is>
      </c>
      <c r="AC148" s="167" t="n">
        <v>-0.08537</v>
      </c>
      <c r="AD148" s="168" t="inlineStr">
        <is>
          <t>FY 2016</t>
        </is>
      </c>
      <c r="AE148" s="169" t="inlineStr">
        <is>
          <t>87950-26P</t>
        </is>
      </c>
      <c r="AF148" s="170" t="inlineStr">
        <is>
          <t>Jesper Zerlang</t>
        </is>
      </c>
      <c r="AG148" s="171" t="inlineStr">
        <is>
          <t>Chief Executive Officer</t>
        </is>
      </c>
      <c r="AH148" s="172" t="inlineStr">
        <is>
          <t>jz@logpoint.com</t>
        </is>
      </c>
      <c r="AI148" s="173" t="inlineStr">
        <is>
          <t>+45 7060 6100</t>
        </is>
      </c>
      <c r="AJ148" s="174" t="inlineStr">
        <is>
          <t>Copenhagen, Denmark</t>
        </is>
      </c>
      <c r="AK148" s="175" t="inlineStr">
        <is>
          <t>Jagtvej 169B</t>
        </is>
      </c>
      <c r="AL148" s="176" t="inlineStr">
        <is>
          <t/>
        </is>
      </c>
      <c r="AM148" s="177" t="inlineStr">
        <is>
          <t>Copenhagen</t>
        </is>
      </c>
      <c r="AN148" s="178" t="inlineStr">
        <is>
          <t/>
        </is>
      </c>
      <c r="AO148" s="179" t="inlineStr">
        <is>
          <t>2100</t>
        </is>
      </c>
      <c r="AP148" s="180" t="inlineStr">
        <is>
          <t>Denmark</t>
        </is>
      </c>
      <c r="AQ148" s="181" t="inlineStr">
        <is>
          <t>+45 7060 6100</t>
        </is>
      </c>
      <c r="AR148" s="182" t="inlineStr">
        <is>
          <t/>
        </is>
      </c>
      <c r="AS148" s="183" t="inlineStr">
        <is>
          <t>info@logpoint.com</t>
        </is>
      </c>
      <c r="AT148" s="184" t="inlineStr">
        <is>
          <t>Europe</t>
        </is>
      </c>
      <c r="AU148" s="185" t="inlineStr">
        <is>
          <t>Northern Europe</t>
        </is>
      </c>
      <c r="AV148" s="186" t="inlineStr">
        <is>
          <t>The company joined INCUBA and received an undisclosed amount in funding. Earlier, the company raised $10 million of Series B venture funding from lead investor Evolution Equity Partners on April 4, 2017. Other undisclosed investors also participated in the round.</t>
        </is>
      </c>
      <c r="AW148" s="187" t="inlineStr">
        <is>
          <t>Dico, Evolution Equity Partners, INCUBA</t>
        </is>
      </c>
      <c r="AX148" s="188" t="n">
        <v>3.0</v>
      </c>
      <c r="AY148" s="189" t="inlineStr">
        <is>
          <t/>
        </is>
      </c>
      <c r="AZ148" s="190" t="inlineStr">
        <is>
          <t/>
        </is>
      </c>
      <c r="BA148" s="191" t="inlineStr">
        <is>
          <t/>
        </is>
      </c>
      <c r="BB148" s="192" t="inlineStr">
        <is>
          <t>Dico (www.dico.dk), Evolution Equity Partners (www.evolutionequity.com), INCUBA (www.incuba.dk)</t>
        </is>
      </c>
      <c r="BC148" s="193" t="inlineStr">
        <is>
          <t/>
        </is>
      </c>
      <c r="BD148" s="194" t="inlineStr">
        <is>
          <t/>
        </is>
      </c>
      <c r="BE148" s="195" t="inlineStr">
        <is>
          <t>Deloitte (Auditor)</t>
        </is>
      </c>
      <c r="BF148" s="196" t="inlineStr">
        <is>
          <t>Vækstfonden (Debt Financing), Tofte &amp; Company (Advisor: General)</t>
        </is>
      </c>
      <c r="BG148" s="197" t="n">
        <v>40909.0</v>
      </c>
      <c r="BH148" s="198" t="inlineStr">
        <is>
          <t/>
        </is>
      </c>
      <c r="BI148" s="199" t="inlineStr">
        <is>
          <t/>
        </is>
      </c>
      <c r="BJ148" s="200" t="inlineStr">
        <is>
          <t/>
        </is>
      </c>
      <c r="BK148" s="201" t="inlineStr">
        <is>
          <t/>
        </is>
      </c>
      <c r="BL148" s="202" t="inlineStr">
        <is>
          <t>Later Stage VC</t>
        </is>
      </c>
      <c r="BM148" s="203" t="inlineStr">
        <is>
          <t>Series A</t>
        </is>
      </c>
      <c r="BN148" s="204" t="inlineStr">
        <is>
          <t/>
        </is>
      </c>
      <c r="BO148" s="205" t="inlineStr">
        <is>
          <t>Venture Capital</t>
        </is>
      </c>
      <c r="BP148" s="206" t="inlineStr">
        <is>
          <t/>
        </is>
      </c>
      <c r="BQ148" s="207" t="inlineStr">
        <is>
          <t/>
        </is>
      </c>
      <c r="BR148" s="208" t="inlineStr">
        <is>
          <t/>
        </is>
      </c>
      <c r="BS148" s="209" t="inlineStr">
        <is>
          <t>Completed</t>
        </is>
      </c>
      <c r="BT148" s="210" t="inlineStr">
        <is>
          <t/>
        </is>
      </c>
      <c r="BU148" s="211" t="inlineStr">
        <is>
          <t/>
        </is>
      </c>
      <c r="BV148" s="212" t="inlineStr">
        <is>
          <t/>
        </is>
      </c>
      <c r="BW148" s="213" t="inlineStr">
        <is>
          <t/>
        </is>
      </c>
      <c r="BX148" s="214" t="inlineStr">
        <is>
          <t/>
        </is>
      </c>
      <c r="BY148" s="215" t="inlineStr">
        <is>
          <t>Accelerator/Incubator</t>
        </is>
      </c>
      <c r="BZ148" s="216" t="inlineStr">
        <is>
          <t/>
        </is>
      </c>
      <c r="CA148" s="217" t="inlineStr">
        <is>
          <t/>
        </is>
      </c>
      <c r="CB148" s="218" t="inlineStr">
        <is>
          <t>Other</t>
        </is>
      </c>
      <c r="CC148" s="219" t="inlineStr">
        <is>
          <t/>
        </is>
      </c>
      <c r="CD148" s="220" t="inlineStr">
        <is>
          <t/>
        </is>
      </c>
      <c r="CE148" s="221" t="inlineStr">
        <is>
          <t/>
        </is>
      </c>
      <c r="CF148" s="222" t="inlineStr">
        <is>
          <t>Completed</t>
        </is>
      </c>
      <c r="CG148" s="223" t="inlineStr">
        <is>
          <t>-2,62%</t>
        </is>
      </c>
      <c r="CH148" s="224" t="inlineStr">
        <is>
          <t>8</t>
        </is>
      </c>
      <c r="CI148" s="225" t="inlineStr">
        <is>
          <t>-0,01%</t>
        </is>
      </c>
      <c r="CJ148" s="226" t="inlineStr">
        <is>
          <t>-0,42%</t>
        </is>
      </c>
      <c r="CK148" s="227" t="inlineStr">
        <is>
          <t>-5,89%</t>
        </is>
      </c>
      <c r="CL148" s="228" t="inlineStr">
        <is>
          <t>7</t>
        </is>
      </c>
      <c r="CM148" s="229" t="inlineStr">
        <is>
          <t>0,65%</t>
        </is>
      </c>
      <c r="CN148" s="230" t="inlineStr">
        <is>
          <t>92</t>
        </is>
      </c>
      <c r="CO148" s="231" t="inlineStr">
        <is>
          <t>-11,43%</t>
        </is>
      </c>
      <c r="CP148" s="232" t="inlineStr">
        <is>
          <t>11</t>
        </is>
      </c>
      <c r="CQ148" s="233" t="inlineStr">
        <is>
          <t>-0,35%</t>
        </is>
      </c>
      <c r="CR148" s="234" t="inlineStr">
        <is>
          <t>17</t>
        </is>
      </c>
      <c r="CS148" s="235" t="inlineStr">
        <is>
          <t>0,86%</t>
        </is>
      </c>
      <c r="CT148" s="236" t="inlineStr">
        <is>
          <t>93</t>
        </is>
      </c>
      <c r="CU148" s="237" t="inlineStr">
        <is>
          <t>0,45%</t>
        </is>
      </c>
      <c r="CV148" s="238" t="inlineStr">
        <is>
          <t>89</t>
        </is>
      </c>
      <c r="CW148" s="239" t="inlineStr">
        <is>
          <t>2,99x</t>
        </is>
      </c>
      <c r="CX148" s="240" t="inlineStr">
        <is>
          <t>72</t>
        </is>
      </c>
      <c r="CY148" s="241" t="inlineStr">
        <is>
          <t>-0,01x</t>
        </is>
      </c>
      <c r="CZ148" s="242" t="inlineStr">
        <is>
          <t>-0,38%</t>
        </is>
      </c>
      <c r="DA148" s="243" t="inlineStr">
        <is>
          <t>4,40x</t>
        </is>
      </c>
      <c r="DB148" s="244" t="inlineStr">
        <is>
          <t>79</t>
        </is>
      </c>
      <c r="DC148" s="245" t="inlineStr">
        <is>
          <t>1,58x</t>
        </is>
      </c>
      <c r="DD148" s="246" t="inlineStr">
        <is>
          <t>57</t>
        </is>
      </c>
      <c r="DE148" s="247" t="inlineStr">
        <is>
          <t>1,03x</t>
        </is>
      </c>
      <c r="DF148" s="248" t="inlineStr">
        <is>
          <t>51</t>
        </is>
      </c>
      <c r="DG148" s="249" t="inlineStr">
        <is>
          <t>7,78x</t>
        </is>
      </c>
      <c r="DH148" s="250" t="inlineStr">
        <is>
          <t>84</t>
        </is>
      </c>
      <c r="DI148" s="251" t="inlineStr">
        <is>
          <t>1,70x</t>
        </is>
      </c>
      <c r="DJ148" s="252" t="inlineStr">
        <is>
          <t>59</t>
        </is>
      </c>
      <c r="DK148" s="253" t="inlineStr">
        <is>
          <t>1,45x</t>
        </is>
      </c>
      <c r="DL148" s="254" t="inlineStr">
        <is>
          <t>58</t>
        </is>
      </c>
      <c r="DM148" s="255" t="inlineStr">
        <is>
          <t>385</t>
        </is>
      </c>
      <c r="DN148" s="256" t="inlineStr">
        <is>
          <t>-15</t>
        </is>
      </c>
      <c r="DO148" s="257" t="inlineStr">
        <is>
          <t>-3,75%</t>
        </is>
      </c>
      <c r="DP148" s="258" t="inlineStr">
        <is>
          <t>1.347</t>
        </is>
      </c>
      <c r="DQ148" s="259" t="inlineStr">
        <is>
          <t>17</t>
        </is>
      </c>
      <c r="DR148" s="260" t="inlineStr">
        <is>
          <t>1,28%</t>
        </is>
      </c>
      <c r="DS148" s="261" t="inlineStr">
        <is>
          <t>280</t>
        </is>
      </c>
      <c r="DT148" s="262" t="inlineStr">
        <is>
          <t>-1</t>
        </is>
      </c>
      <c r="DU148" s="263" t="inlineStr">
        <is>
          <t>-0,36%</t>
        </is>
      </c>
      <c r="DV148" s="264" t="inlineStr">
        <is>
          <t>544</t>
        </is>
      </c>
      <c r="DW148" s="265" t="inlineStr">
        <is>
          <t>2</t>
        </is>
      </c>
      <c r="DX148" s="266" t="inlineStr">
        <is>
          <t>0,37%</t>
        </is>
      </c>
      <c r="DY148" s="267" t="inlineStr">
        <is>
          <t>PitchBook Research</t>
        </is>
      </c>
      <c r="DZ148" s="786">
        <f>HYPERLINK("https://my.pitchbook.com?c=100569-70", "View company online")</f>
      </c>
    </row>
    <row r="149">
      <c r="A149" s="9" t="inlineStr">
        <is>
          <t>97544-53</t>
        </is>
      </c>
      <c r="B149" s="10" t="inlineStr">
        <is>
          <t>THRON</t>
        </is>
      </c>
      <c r="C149" s="11" t="inlineStr">
        <is>
          <t>New Vision</t>
        </is>
      </c>
      <c r="D149" s="12" t="inlineStr">
        <is>
          <t/>
        </is>
      </c>
      <c r="E149" s="13" t="inlineStr">
        <is>
          <t>97544-53</t>
        </is>
      </c>
      <c r="F149" s="14" t="inlineStr">
        <is>
          <t>Provider of digital asset management services designed to control content from a unique platform. The company's digital asset management services help to centralize, control, distribute and assess the content in real-time, across all digital channels, enabling clients to obtain strategic data from the content usage.</t>
        </is>
      </c>
      <c r="G149" s="15" t="inlineStr">
        <is>
          <t>Information Technology</t>
        </is>
      </c>
      <c r="H149" s="16" t="inlineStr">
        <is>
          <t>IT Services</t>
        </is>
      </c>
      <c r="I149" s="17" t="inlineStr">
        <is>
          <t>Systems and Information Management</t>
        </is>
      </c>
      <c r="J149" s="18" t="inlineStr">
        <is>
          <t>Systems and Information Management*; Media and Information Services (B2B); Business/Productivity Software</t>
        </is>
      </c>
      <c r="K149" s="19" t="inlineStr">
        <is>
          <t>SaaS</t>
        </is>
      </c>
      <c r="L149" s="20" t="inlineStr">
        <is>
          <t>Venture Capital-Backed</t>
        </is>
      </c>
      <c r="M149" s="21" t="n">
        <v>9.3</v>
      </c>
      <c r="N149" s="22" t="inlineStr">
        <is>
          <t>Generating Revenue</t>
        </is>
      </c>
      <c r="O149" s="23" t="inlineStr">
        <is>
          <t>Privately Held (backing)</t>
        </is>
      </c>
      <c r="P149" s="24" t="inlineStr">
        <is>
          <t>Venture Capital</t>
        </is>
      </c>
      <c r="Q149" s="25" t="inlineStr">
        <is>
          <t>www.thron.com</t>
        </is>
      </c>
      <c r="R149" s="26" t="n">
        <v>65.0</v>
      </c>
      <c r="S149" s="27" t="inlineStr">
        <is>
          <t/>
        </is>
      </c>
      <c r="T149" s="28" t="inlineStr">
        <is>
          <t/>
        </is>
      </c>
      <c r="U149" s="29" t="n">
        <v>2000.0</v>
      </c>
      <c r="V149" s="30" t="inlineStr">
        <is>
          <t/>
        </is>
      </c>
      <c r="W149" s="31" t="inlineStr">
        <is>
          <t/>
        </is>
      </c>
      <c r="X149" s="32" t="inlineStr">
        <is>
          <t/>
        </is>
      </c>
      <c r="Y149" s="33" t="inlineStr">
        <is>
          <t/>
        </is>
      </c>
      <c r="Z149" s="34" t="inlineStr">
        <is>
          <t/>
        </is>
      </c>
      <c r="AA149" s="35" t="inlineStr">
        <is>
          <t/>
        </is>
      </c>
      <c r="AB149" s="36" t="inlineStr">
        <is>
          <t/>
        </is>
      </c>
      <c r="AC149" s="37" t="inlineStr">
        <is>
          <t/>
        </is>
      </c>
      <c r="AD149" s="38" t="inlineStr">
        <is>
          <t/>
        </is>
      </c>
      <c r="AE149" s="39" t="inlineStr">
        <is>
          <t>79262-74P</t>
        </is>
      </c>
      <c r="AF149" s="40" t="inlineStr">
        <is>
          <t>Dario De Agostini</t>
        </is>
      </c>
      <c r="AG149" s="41" t="inlineStr">
        <is>
          <t>Co-Founder &amp; Chief Technology Officer</t>
        </is>
      </c>
      <c r="AH149" s="42" t="inlineStr">
        <is>
          <t>agostini@newvision.it</t>
        </is>
      </c>
      <c r="AI149" s="43" t="inlineStr">
        <is>
          <t/>
        </is>
      </c>
      <c r="AJ149" s="44" t="inlineStr">
        <is>
          <t>Milan, Italy</t>
        </is>
      </c>
      <c r="AK149" s="45" t="inlineStr">
        <is>
          <t>Via Turati, 40</t>
        </is>
      </c>
      <c r="AL149" s="46" t="inlineStr">
        <is>
          <t/>
        </is>
      </c>
      <c r="AM149" s="47" t="inlineStr">
        <is>
          <t>Milan</t>
        </is>
      </c>
      <c r="AN149" s="48" t="inlineStr">
        <is>
          <t/>
        </is>
      </c>
      <c r="AO149" s="49" t="inlineStr">
        <is>
          <t>20121</t>
        </is>
      </c>
      <c r="AP149" s="50" t="inlineStr">
        <is>
          <t>Italy</t>
        </is>
      </c>
      <c r="AQ149" s="51" t="inlineStr">
        <is>
          <t/>
        </is>
      </c>
      <c r="AR149" s="52" t="inlineStr">
        <is>
          <t/>
        </is>
      </c>
      <c r="AS149" s="53" t="inlineStr">
        <is>
          <t>info@thron.com</t>
        </is>
      </c>
      <c r="AT149" s="54" t="inlineStr">
        <is>
          <t>Europe</t>
        </is>
      </c>
      <c r="AU149" s="55" t="inlineStr">
        <is>
          <t>Southern Europe</t>
        </is>
      </c>
      <c r="AV149" s="56" t="inlineStr">
        <is>
          <t>The company raised EUR 3 million of venture funding from IPE Investimenti in Private Equity, Eurofinleading and Girolamo Vimercati Sanseverino on February 27, 2017. AnimaTerra and other undisclosed investors also participated in the round.</t>
        </is>
      </c>
      <c r="AW149" s="57" t="inlineStr">
        <is>
          <t>AnimaTerra, Centerboard Partner, Eurofinleading, Girolamo Vimercati Sanseverino, Innogest, IPE Investimenti, Withfounders</t>
        </is>
      </c>
      <c r="AX149" s="58" t="n">
        <v>7.0</v>
      </c>
      <c r="AY149" s="59" t="inlineStr">
        <is>
          <t/>
        </is>
      </c>
      <c r="AZ149" s="60" t="inlineStr">
        <is>
          <t/>
        </is>
      </c>
      <c r="BA149" s="61" t="inlineStr">
        <is>
          <t/>
        </is>
      </c>
      <c r="BB149" s="62" t="inlineStr">
        <is>
          <t>Innogest (www.innogest.it), Withfounders (www.withfounders.it)</t>
        </is>
      </c>
      <c r="BC149" s="63" t="inlineStr">
        <is>
          <t/>
        </is>
      </c>
      <c r="BD149" s="64" t="inlineStr">
        <is>
          <t/>
        </is>
      </c>
      <c r="BE149" s="65" t="inlineStr">
        <is>
          <t>growITup (Consulting)</t>
        </is>
      </c>
      <c r="BF149" s="66" t="inlineStr">
        <is>
          <t/>
        </is>
      </c>
      <c r="BG149" s="67" t="n">
        <v>41899.0</v>
      </c>
      <c r="BH149" s="68" t="n">
        <v>6.3</v>
      </c>
      <c r="BI149" s="69" t="inlineStr">
        <is>
          <t>Actual</t>
        </is>
      </c>
      <c r="BJ149" s="70" t="inlineStr">
        <is>
          <t/>
        </is>
      </c>
      <c r="BK149" s="71" t="inlineStr">
        <is>
          <t/>
        </is>
      </c>
      <c r="BL149" s="72" t="inlineStr">
        <is>
          <t>Later Stage VC</t>
        </is>
      </c>
      <c r="BM149" s="73" t="inlineStr">
        <is>
          <t>Series A</t>
        </is>
      </c>
      <c r="BN149" s="74" t="inlineStr">
        <is>
          <t/>
        </is>
      </c>
      <c r="BO149" s="75" t="inlineStr">
        <is>
          <t>Venture Capital</t>
        </is>
      </c>
      <c r="BP149" s="76" t="inlineStr">
        <is>
          <t/>
        </is>
      </c>
      <c r="BQ149" s="77" t="inlineStr">
        <is>
          <t/>
        </is>
      </c>
      <c r="BR149" s="78" t="inlineStr">
        <is>
          <t/>
        </is>
      </c>
      <c r="BS149" s="79" t="inlineStr">
        <is>
          <t>Completed</t>
        </is>
      </c>
      <c r="BT149" s="80" t="n">
        <v>42793.0</v>
      </c>
      <c r="BU149" s="81" t="n">
        <v>3.0</v>
      </c>
      <c r="BV149" s="82" t="inlineStr">
        <is>
          <t>Actual</t>
        </is>
      </c>
      <c r="BW149" s="83" t="inlineStr">
        <is>
          <t/>
        </is>
      </c>
      <c r="BX149" s="84" t="inlineStr">
        <is>
          <t/>
        </is>
      </c>
      <c r="BY149" s="85" t="inlineStr">
        <is>
          <t>Later Stage VC</t>
        </is>
      </c>
      <c r="BZ149" s="86" t="inlineStr">
        <is>
          <t/>
        </is>
      </c>
      <c r="CA149" s="87" t="inlineStr">
        <is>
          <t/>
        </is>
      </c>
      <c r="CB149" s="88" t="inlineStr">
        <is>
          <t>Venture Capital</t>
        </is>
      </c>
      <c r="CC149" s="89" t="inlineStr">
        <is>
          <t/>
        </is>
      </c>
      <c r="CD149" s="90" t="inlineStr">
        <is>
          <t/>
        </is>
      </c>
      <c r="CE149" s="91" t="inlineStr">
        <is>
          <t/>
        </is>
      </c>
      <c r="CF149" s="92" t="inlineStr">
        <is>
          <t>Completed</t>
        </is>
      </c>
      <c r="CG149" s="93" t="inlineStr">
        <is>
          <t>0,34%</t>
        </is>
      </c>
      <c r="CH149" s="94" t="inlineStr">
        <is>
          <t>90</t>
        </is>
      </c>
      <c r="CI149" s="95" t="inlineStr">
        <is>
          <t>-0,19%</t>
        </is>
      </c>
      <c r="CJ149" s="96" t="inlineStr">
        <is>
          <t>-35,64%</t>
        </is>
      </c>
      <c r="CK149" s="97" t="inlineStr">
        <is>
          <t/>
        </is>
      </c>
      <c r="CL149" s="98" t="inlineStr">
        <is>
          <t/>
        </is>
      </c>
      <c r="CM149" s="99" t="inlineStr">
        <is>
          <t>0,34%</t>
        </is>
      </c>
      <c r="CN149" s="100" t="inlineStr">
        <is>
          <t>82</t>
        </is>
      </c>
      <c r="CO149" s="101" t="inlineStr">
        <is>
          <t/>
        </is>
      </c>
      <c r="CP149" s="102" t="inlineStr">
        <is>
          <t/>
        </is>
      </c>
      <c r="CQ149" s="103" t="inlineStr">
        <is>
          <t/>
        </is>
      </c>
      <c r="CR149" s="104" t="inlineStr">
        <is>
          <t/>
        </is>
      </c>
      <c r="CS149" s="105" t="inlineStr">
        <is>
          <t>0,45%</t>
        </is>
      </c>
      <c r="CT149" s="106" t="inlineStr">
        <is>
          <t>85</t>
        </is>
      </c>
      <c r="CU149" s="107" t="inlineStr">
        <is>
          <t>0,24%</t>
        </is>
      </c>
      <c r="CV149" s="108" t="inlineStr">
        <is>
          <t>79</t>
        </is>
      </c>
      <c r="CW149" s="109" t="inlineStr">
        <is>
          <t>0,52x</t>
        </is>
      </c>
      <c r="CX149" s="110" t="inlineStr">
        <is>
          <t>34</t>
        </is>
      </c>
      <c r="CY149" s="111" t="inlineStr">
        <is>
          <t>0,00x</t>
        </is>
      </c>
      <c r="CZ149" s="112" t="inlineStr">
        <is>
          <t>-0,26%</t>
        </is>
      </c>
      <c r="DA149" s="113" t="inlineStr">
        <is>
          <t/>
        </is>
      </c>
      <c r="DB149" s="114" t="inlineStr">
        <is>
          <t/>
        </is>
      </c>
      <c r="DC149" s="115" t="inlineStr">
        <is>
          <t>0,52x</t>
        </is>
      </c>
      <c r="DD149" s="116" t="inlineStr">
        <is>
          <t>36</t>
        </is>
      </c>
      <c r="DE149" s="117" t="inlineStr">
        <is>
          <t/>
        </is>
      </c>
      <c r="DF149" s="118" t="inlineStr">
        <is>
          <t/>
        </is>
      </c>
      <c r="DG149" s="119" t="inlineStr">
        <is>
          <t/>
        </is>
      </c>
      <c r="DH149" s="120" t="inlineStr">
        <is>
          <t/>
        </is>
      </c>
      <c r="DI149" s="121" t="inlineStr">
        <is>
          <t>0,61x</t>
        </is>
      </c>
      <c r="DJ149" s="122" t="inlineStr">
        <is>
          <t>42</t>
        </is>
      </c>
      <c r="DK149" s="123" t="inlineStr">
        <is>
          <t>0,44x</t>
        </is>
      </c>
      <c r="DL149" s="124" t="inlineStr">
        <is>
          <t>36</t>
        </is>
      </c>
      <c r="DM149" s="125" t="inlineStr">
        <is>
          <t/>
        </is>
      </c>
      <c r="DN149" s="126" t="inlineStr">
        <is>
          <t/>
        </is>
      </c>
      <c r="DO149" s="127" t="inlineStr">
        <is>
          <t/>
        </is>
      </c>
      <c r="DP149" s="128" t="inlineStr">
        <is>
          <t>483</t>
        </is>
      </c>
      <c r="DQ149" s="129" t="inlineStr">
        <is>
          <t>1</t>
        </is>
      </c>
      <c r="DR149" s="130" t="inlineStr">
        <is>
          <t>0,21%</t>
        </is>
      </c>
      <c r="DS149" s="131" t="inlineStr">
        <is>
          <t/>
        </is>
      </c>
      <c r="DT149" s="132" t="inlineStr">
        <is>
          <t/>
        </is>
      </c>
      <c r="DU149" s="133" t="inlineStr">
        <is>
          <t/>
        </is>
      </c>
      <c r="DV149" s="134" t="inlineStr">
        <is>
          <t>163</t>
        </is>
      </c>
      <c r="DW149" s="135" t="inlineStr">
        <is>
          <t>2</t>
        </is>
      </c>
      <c r="DX149" s="136" t="inlineStr">
        <is>
          <t>1,24%</t>
        </is>
      </c>
      <c r="DY149" s="137" t="inlineStr">
        <is>
          <t>PitchBook Research</t>
        </is>
      </c>
      <c r="DZ149" s="785">
        <f>HYPERLINK("https://my.pitchbook.com?c=97544-53", "View company online")</f>
      </c>
    </row>
    <row r="150">
      <c r="A150" s="139" t="inlineStr">
        <is>
          <t>59049-91</t>
        </is>
      </c>
      <c r="B150" s="140" t="inlineStr">
        <is>
          <t>Eight19</t>
        </is>
      </c>
      <c r="C150" s="141" t="inlineStr">
        <is>
          <t/>
        </is>
      </c>
      <c r="D150" s="142" t="inlineStr">
        <is>
          <t/>
        </is>
      </c>
      <c r="E150" s="143" t="inlineStr">
        <is>
          <t>59049-91</t>
        </is>
      </c>
      <c r="F150" s="144" t="inlineStr">
        <is>
          <t>Developer of organic photovoltaic devices designed to enhance the next generation solar technology. The company's organic photovoltaic devices engages in deployment of off-grid solar power in emerging markets and includes roll-to-roll technology for the manufacture of flexible, robust and lightweight OPV modules, enabling users to deploy solar power through lightweight devices whenever needed.</t>
        </is>
      </c>
      <c r="G150" s="145" t="inlineStr">
        <is>
          <t>Energy</t>
        </is>
      </c>
      <c r="H150" s="146" t="inlineStr">
        <is>
          <t>Energy Equipment</t>
        </is>
      </c>
      <c r="I150" s="147" t="inlineStr">
        <is>
          <t>Alternative Energy Equipment</t>
        </is>
      </c>
      <c r="J150" s="148" t="inlineStr">
        <is>
          <t>Alternative Energy Equipment*; Other Equipment</t>
        </is>
      </c>
      <c r="K150" s="149" t="inlineStr">
        <is>
          <t>CleanTech, LOHAS &amp; Wellness, Manufacturing</t>
        </is>
      </c>
      <c r="L150" s="150" t="inlineStr">
        <is>
          <t>Venture Capital-Backed</t>
        </is>
      </c>
      <c r="M150" s="151" t="n">
        <v>9.2</v>
      </c>
      <c r="N150" s="152" t="inlineStr">
        <is>
          <t>Profitable</t>
        </is>
      </c>
      <c r="O150" s="153" t="inlineStr">
        <is>
          <t>Privately Held (backing)</t>
        </is>
      </c>
      <c r="P150" s="154" t="inlineStr">
        <is>
          <t>Venture Capital</t>
        </is>
      </c>
      <c r="Q150" s="155" t="inlineStr">
        <is>
          <t>www.eight19.com</t>
        </is>
      </c>
      <c r="R150" s="156" t="n">
        <v>13.0</v>
      </c>
      <c r="S150" s="157" t="inlineStr">
        <is>
          <t/>
        </is>
      </c>
      <c r="T150" s="158" t="inlineStr">
        <is>
          <t/>
        </is>
      </c>
      <c r="U150" s="159" t="n">
        <v>2009.0</v>
      </c>
      <c r="V150" s="160" t="inlineStr">
        <is>
          <t/>
        </is>
      </c>
      <c r="W150" s="161" t="inlineStr">
        <is>
          <t/>
        </is>
      </c>
      <c r="X150" s="162" t="inlineStr">
        <is>
          <t/>
        </is>
      </c>
      <c r="Y150" s="163" t="inlineStr">
        <is>
          <t/>
        </is>
      </c>
      <c r="Z150" s="164" t="inlineStr">
        <is>
          <t/>
        </is>
      </c>
      <c r="AA150" s="165" t="n">
        <v>-2.33865</v>
      </c>
      <c r="AB150" s="166" t="inlineStr">
        <is>
          <t/>
        </is>
      </c>
      <c r="AC150" s="167" t="n">
        <v>-1.92239</v>
      </c>
      <c r="AD150" s="168" t="inlineStr">
        <is>
          <t>FY 2012</t>
        </is>
      </c>
      <c r="AE150" s="169" t="inlineStr">
        <is>
          <t>72667-09P</t>
        </is>
      </c>
      <c r="AF150" s="170" t="inlineStr">
        <is>
          <t>Adrian Watson</t>
        </is>
      </c>
      <c r="AG150" s="171" t="inlineStr">
        <is>
          <t>Chief Financial Officer</t>
        </is>
      </c>
      <c r="AH150" s="172" t="inlineStr">
        <is>
          <t>adrian@eight19.com</t>
        </is>
      </c>
      <c r="AI150" s="173" t="inlineStr">
        <is>
          <t>+44 (0)12 2343 7437</t>
        </is>
      </c>
      <c r="AJ150" s="174" t="inlineStr">
        <is>
          <t>Cambridge, United Kingdom</t>
        </is>
      </c>
      <c r="AK150" s="175" t="inlineStr">
        <is>
          <t>9A Cambridge Science Park</t>
        </is>
      </c>
      <c r="AL150" s="176" t="inlineStr">
        <is>
          <t>Milton Road</t>
        </is>
      </c>
      <c r="AM150" s="177" t="inlineStr">
        <is>
          <t>Cambridge</t>
        </is>
      </c>
      <c r="AN150" s="178" t="inlineStr">
        <is>
          <t>England</t>
        </is>
      </c>
      <c r="AO150" s="179" t="inlineStr">
        <is>
          <t>CB4 0FE</t>
        </is>
      </c>
      <c r="AP150" s="180" t="inlineStr">
        <is>
          <t>United Kingdom</t>
        </is>
      </c>
      <c r="AQ150" s="181" t="inlineStr">
        <is>
          <t>+44 (0)12 2343 7437</t>
        </is>
      </c>
      <c r="AR150" s="182" t="inlineStr">
        <is>
          <t/>
        </is>
      </c>
      <c r="AS150" s="183" t="inlineStr">
        <is>
          <t>info@eight19.com</t>
        </is>
      </c>
      <c r="AT150" s="184" t="inlineStr">
        <is>
          <t>Europe</t>
        </is>
      </c>
      <c r="AU150" s="185" t="inlineStr">
        <is>
          <t>Western Europe</t>
        </is>
      </c>
      <c r="AV150" s="186" t="inlineStr">
        <is>
          <t>The company raised GBP 1.33 million of venture funding from Lucros Investment, IP Group and Clarium Capital Management on July 19, 2017, putting the pre-money valuation at GBP 2.62 million. Providence Ventures also participated in the round.</t>
        </is>
      </c>
      <c r="AW150" s="187" t="inlineStr">
        <is>
          <t>350 Investment Partners, Africa Enterprise Challenge Fund, Clarium Capital Management, IP Group United Kingdom, Lucros Investment, Providence Ventures, Rhodia, Solvay, The Carbon Trust, TTP Group, University of Cambridge Endowment</t>
        </is>
      </c>
      <c r="AX150" s="188" t="n">
        <v>11.0</v>
      </c>
      <c r="AY150" s="189" t="inlineStr">
        <is>
          <t/>
        </is>
      </c>
      <c r="AZ150" s="190" t="inlineStr">
        <is>
          <t/>
        </is>
      </c>
      <c r="BA150" s="191" t="inlineStr">
        <is>
          <t/>
        </is>
      </c>
      <c r="BB150" s="192" t="inlineStr">
        <is>
          <t>350 Investment Partners (www.350ip.co.uk), Africa Enterprise Challenge Fund (www.aecfafrica.org), Clarium Capital Management (www.clarium.com), IP Group United Kingdom (www.ipgroupplc.com), Providence Ventures (www.providenceventures.org), Rhodia (www.rhodia.com), Solvay (www.solvay.com), The Carbon Trust (www.carbontrust.com), TTP Group (www.ttpgroup.com)</t>
        </is>
      </c>
      <c r="BC150" s="193" t="inlineStr">
        <is>
          <t/>
        </is>
      </c>
      <c r="BD150" s="194" t="inlineStr">
        <is>
          <t/>
        </is>
      </c>
      <c r="BE150" s="195" t="inlineStr">
        <is>
          <t/>
        </is>
      </c>
      <c r="BF150" s="196" t="inlineStr">
        <is>
          <t/>
        </is>
      </c>
      <c r="BG150" s="197" t="n">
        <v>40429.0</v>
      </c>
      <c r="BH150" s="198" t="n">
        <v>5.49</v>
      </c>
      <c r="BI150" s="199" t="inlineStr">
        <is>
          <t>Actual</t>
        </is>
      </c>
      <c r="BJ150" s="200" t="n">
        <v>8.03</v>
      </c>
      <c r="BK150" s="201" t="inlineStr">
        <is>
          <t>Actual</t>
        </is>
      </c>
      <c r="BL150" s="202" t="inlineStr">
        <is>
          <t>Early Stage VC</t>
        </is>
      </c>
      <c r="BM150" s="203" t="inlineStr">
        <is>
          <t/>
        </is>
      </c>
      <c r="BN150" s="204" t="inlineStr">
        <is>
          <t/>
        </is>
      </c>
      <c r="BO150" s="205" t="inlineStr">
        <is>
          <t>Venture Capital</t>
        </is>
      </c>
      <c r="BP150" s="206" t="inlineStr">
        <is>
          <t/>
        </is>
      </c>
      <c r="BQ150" s="207" t="inlineStr">
        <is>
          <t/>
        </is>
      </c>
      <c r="BR150" s="208" t="inlineStr">
        <is>
          <t/>
        </is>
      </c>
      <c r="BS150" s="209" t="inlineStr">
        <is>
          <t>Completed</t>
        </is>
      </c>
      <c r="BT150" s="210" t="n">
        <v>42935.0</v>
      </c>
      <c r="BU150" s="211" t="n">
        <v>1.51</v>
      </c>
      <c r="BV150" s="212" t="inlineStr">
        <is>
          <t>Actual</t>
        </is>
      </c>
      <c r="BW150" s="213" t="n">
        <v>4.47</v>
      </c>
      <c r="BX150" s="214" t="inlineStr">
        <is>
          <t>Actual</t>
        </is>
      </c>
      <c r="BY150" s="215" t="inlineStr">
        <is>
          <t>Later Stage VC</t>
        </is>
      </c>
      <c r="BZ150" s="216" t="inlineStr">
        <is>
          <t/>
        </is>
      </c>
      <c r="CA150" s="217" t="inlineStr">
        <is>
          <t/>
        </is>
      </c>
      <c r="CB150" s="218" t="inlineStr">
        <is>
          <t>Venture Capital</t>
        </is>
      </c>
      <c r="CC150" s="219" t="inlineStr">
        <is>
          <t/>
        </is>
      </c>
      <c r="CD150" s="220" t="inlineStr">
        <is>
          <t/>
        </is>
      </c>
      <c r="CE150" s="221" t="inlineStr">
        <is>
          <t/>
        </is>
      </c>
      <c r="CF150" s="222" t="inlineStr">
        <is>
          <t>Completed</t>
        </is>
      </c>
      <c r="CG150" s="223" t="inlineStr">
        <is>
          <t>-0,39%</t>
        </is>
      </c>
      <c r="CH150" s="224" t="inlineStr">
        <is>
          <t>20</t>
        </is>
      </c>
      <c r="CI150" s="225" t="inlineStr">
        <is>
          <t>0,00%</t>
        </is>
      </c>
      <c r="CJ150" s="226" t="inlineStr">
        <is>
          <t>-0,92%</t>
        </is>
      </c>
      <c r="CK150" s="227" t="inlineStr">
        <is>
          <t>-0,70%</t>
        </is>
      </c>
      <c r="CL150" s="228" t="inlineStr">
        <is>
          <t>22</t>
        </is>
      </c>
      <c r="CM150" s="229" t="inlineStr">
        <is>
          <t>-0,07%</t>
        </is>
      </c>
      <c r="CN150" s="230" t="inlineStr">
        <is>
          <t>6</t>
        </is>
      </c>
      <c r="CO150" s="231" t="inlineStr">
        <is>
          <t/>
        </is>
      </c>
      <c r="CP150" s="232" t="inlineStr">
        <is>
          <t/>
        </is>
      </c>
      <c r="CQ150" s="233" t="inlineStr">
        <is>
          <t>-0,70%</t>
        </is>
      </c>
      <c r="CR150" s="234" t="inlineStr">
        <is>
          <t>13</t>
        </is>
      </c>
      <c r="CS150" s="235" t="inlineStr">
        <is>
          <t>-0,08%</t>
        </is>
      </c>
      <c r="CT150" s="236" t="inlineStr">
        <is>
          <t>4</t>
        </is>
      </c>
      <c r="CU150" s="237" t="inlineStr">
        <is>
          <t>-0,07%</t>
        </is>
      </c>
      <c r="CV150" s="238" t="inlineStr">
        <is>
          <t>11</t>
        </is>
      </c>
      <c r="CW150" s="239" t="inlineStr">
        <is>
          <t>2,80x</t>
        </is>
      </c>
      <c r="CX150" s="240" t="inlineStr">
        <is>
          <t>71</t>
        </is>
      </c>
      <c r="CY150" s="241" t="inlineStr">
        <is>
          <t>-0,02x</t>
        </is>
      </c>
      <c r="CZ150" s="242" t="inlineStr">
        <is>
          <t>-0,58%</t>
        </is>
      </c>
      <c r="DA150" s="243" t="inlineStr">
        <is>
          <t>5,25x</t>
        </is>
      </c>
      <c r="DB150" s="244" t="inlineStr">
        <is>
          <t>82</t>
        </is>
      </c>
      <c r="DC150" s="245" t="inlineStr">
        <is>
          <t>0,34x</t>
        </is>
      </c>
      <c r="DD150" s="246" t="inlineStr">
        <is>
          <t>29</t>
        </is>
      </c>
      <c r="DE150" s="247" t="inlineStr">
        <is>
          <t/>
        </is>
      </c>
      <c r="DF150" s="248" t="inlineStr">
        <is>
          <t/>
        </is>
      </c>
      <c r="DG150" s="249" t="inlineStr">
        <is>
          <t>5,25x</t>
        </is>
      </c>
      <c r="DH150" s="250" t="inlineStr">
        <is>
          <t>80</t>
        </is>
      </c>
      <c r="DI150" s="251" t="inlineStr">
        <is>
          <t>0,19x</t>
        </is>
      </c>
      <c r="DJ150" s="252" t="inlineStr">
        <is>
          <t>23</t>
        </is>
      </c>
      <c r="DK150" s="253" t="inlineStr">
        <is>
          <t>0,49x</t>
        </is>
      </c>
      <c r="DL150" s="254" t="inlineStr">
        <is>
          <t>38</t>
        </is>
      </c>
      <c r="DM150" s="255" t="inlineStr">
        <is>
          <t/>
        </is>
      </c>
      <c r="DN150" s="256" t="inlineStr">
        <is>
          <t/>
        </is>
      </c>
      <c r="DO150" s="257" t="inlineStr">
        <is>
          <t/>
        </is>
      </c>
      <c r="DP150" s="258" t="inlineStr">
        <is>
          <t>151</t>
        </is>
      </c>
      <c r="DQ150" s="259" t="inlineStr">
        <is>
          <t>0</t>
        </is>
      </c>
      <c r="DR150" s="260" t="inlineStr">
        <is>
          <t>0,00%</t>
        </is>
      </c>
      <c r="DS150" s="261" t="inlineStr">
        <is>
          <t>189</t>
        </is>
      </c>
      <c r="DT150" s="262" t="inlineStr">
        <is>
          <t>-2</t>
        </is>
      </c>
      <c r="DU150" s="263" t="inlineStr">
        <is>
          <t>-1,05%</t>
        </is>
      </c>
      <c r="DV150" s="264" t="inlineStr">
        <is>
          <t>185</t>
        </is>
      </c>
      <c r="DW150" s="265" t="inlineStr">
        <is>
          <t>0</t>
        </is>
      </c>
      <c r="DX150" s="266" t="inlineStr">
        <is>
          <t>0,00%</t>
        </is>
      </c>
      <c r="DY150" s="267" t="inlineStr">
        <is>
          <t>PitchBook Research</t>
        </is>
      </c>
      <c r="DZ150" s="786">
        <f>HYPERLINK("https://my.pitchbook.com?c=59049-91", "View company online")</f>
      </c>
    </row>
    <row r="151">
      <c r="A151" s="9" t="inlineStr">
        <is>
          <t>62550-10</t>
        </is>
      </c>
      <c r="B151" s="10" t="inlineStr">
        <is>
          <t>Robart</t>
        </is>
      </c>
      <c r="C151" s="11" t="inlineStr">
        <is>
          <t/>
        </is>
      </c>
      <c r="D151" s="12" t="inlineStr">
        <is>
          <t/>
        </is>
      </c>
      <c r="E151" s="13" t="inlineStr">
        <is>
          <t>62550-10</t>
        </is>
      </c>
      <c r="F151" s="14" t="inlineStr">
        <is>
          <t>Developer of artificial intelligence and navigation technology for autonomous home robots. The company's system, consisting of the navigation sensor (SHU), mainboard, software and app connectivity, can perceive the environment, reinterpret it and adapt to changes for applications such as floor cleaning, home security, fetch and carry or elderly care, enabling manufacturers to use innovative and technologically advanced artificial intelligence for their products.</t>
        </is>
      </c>
      <c r="G151" s="15" t="inlineStr">
        <is>
          <t>Consumer Products and Services (B2C)</t>
        </is>
      </c>
      <c r="H151" s="16" t="inlineStr">
        <is>
          <t>Consumer Durables</t>
        </is>
      </c>
      <c r="I151" s="17" t="inlineStr">
        <is>
          <t>Electronics (B2C)</t>
        </is>
      </c>
      <c r="J151" s="18" t="inlineStr">
        <is>
          <t>Electronics (B2C)*; Application Software</t>
        </is>
      </c>
      <c r="K151" s="19" t="inlineStr">
        <is>
          <t>Artificial Intelligence &amp; Machine Learning, Internet of Things, Robotics and Drones</t>
        </is>
      </c>
      <c r="L151" s="20" t="inlineStr">
        <is>
          <t>Venture Capital-Backed</t>
        </is>
      </c>
      <c r="M151" s="21" t="n">
        <v>9.1</v>
      </c>
      <c r="N151" s="22" t="inlineStr">
        <is>
          <t>Generating Revenue</t>
        </is>
      </c>
      <c r="O151" s="23" t="inlineStr">
        <is>
          <t>Privately Held (backing)</t>
        </is>
      </c>
      <c r="P151" s="24" t="inlineStr">
        <is>
          <t>Venture Capital</t>
        </is>
      </c>
      <c r="Q151" s="25" t="inlineStr">
        <is>
          <t>www.robart.cc</t>
        </is>
      </c>
      <c r="R151" s="26" t="n">
        <v>55.0</v>
      </c>
      <c r="S151" s="27" t="inlineStr">
        <is>
          <t/>
        </is>
      </c>
      <c r="T151" s="28" t="inlineStr">
        <is>
          <t/>
        </is>
      </c>
      <c r="U151" s="29" t="n">
        <v>2009.0</v>
      </c>
      <c r="V151" s="30" t="inlineStr">
        <is>
          <t/>
        </is>
      </c>
      <c r="W151" s="31" t="inlineStr">
        <is>
          <t/>
        </is>
      </c>
      <c r="X151" s="32" t="inlineStr">
        <is>
          <t/>
        </is>
      </c>
      <c r="Y151" s="33" t="inlineStr">
        <is>
          <t/>
        </is>
      </c>
      <c r="Z151" s="34" t="inlineStr">
        <is>
          <t/>
        </is>
      </c>
      <c r="AA151" s="35" t="inlineStr">
        <is>
          <t/>
        </is>
      </c>
      <c r="AB151" s="36" t="inlineStr">
        <is>
          <t/>
        </is>
      </c>
      <c r="AC151" s="37" t="inlineStr">
        <is>
          <t/>
        </is>
      </c>
      <c r="AD151" s="38" t="inlineStr">
        <is>
          <t/>
        </is>
      </c>
      <c r="AE151" s="39" t="inlineStr">
        <is>
          <t>65576-89P</t>
        </is>
      </c>
      <c r="AF151" s="40" t="inlineStr">
        <is>
          <t>Michael Schahpar</t>
        </is>
      </c>
      <c r="AG151" s="41" t="inlineStr">
        <is>
          <t>Co-Founder, Chief Executive Officer, Chief Financial Officer, Managing &amp; Commercial Director</t>
        </is>
      </c>
      <c r="AH151" s="42" t="inlineStr">
        <is>
          <t>michael.schahpar@robart.cc</t>
        </is>
      </c>
      <c r="AI151" s="43" t="inlineStr">
        <is>
          <t>+43 (0)732 9444 40</t>
        </is>
      </c>
      <c r="AJ151" s="44" t="inlineStr">
        <is>
          <t>Linz, Austria</t>
        </is>
      </c>
      <c r="AK151" s="45" t="inlineStr">
        <is>
          <t>Friedhofstraße 4</t>
        </is>
      </c>
      <c r="AL151" s="46" t="inlineStr">
        <is>
          <t/>
        </is>
      </c>
      <c r="AM151" s="47" t="inlineStr">
        <is>
          <t>Linz</t>
        </is>
      </c>
      <c r="AN151" s="48" t="inlineStr">
        <is>
          <t/>
        </is>
      </c>
      <c r="AO151" s="49" t="inlineStr">
        <is>
          <t>4020</t>
        </is>
      </c>
      <c r="AP151" s="50" t="inlineStr">
        <is>
          <t>Austria</t>
        </is>
      </c>
      <c r="AQ151" s="51" t="inlineStr">
        <is>
          <t>+43 (0)732 9444 40</t>
        </is>
      </c>
      <c r="AR151" s="52" t="inlineStr">
        <is>
          <t>+43 (0)732 9444 41</t>
        </is>
      </c>
      <c r="AS151" s="53" t="inlineStr">
        <is>
          <t>office@robart.cc</t>
        </is>
      </c>
      <c r="AT151" s="54" t="inlineStr">
        <is>
          <t>Europe</t>
        </is>
      </c>
      <c r="AU151" s="55" t="inlineStr">
        <is>
          <t>Western Europe</t>
        </is>
      </c>
      <c r="AV151" s="56" t="inlineStr">
        <is>
          <t>The company raised EUR 6.1 million of Series B venture funding in a deal led by CM-CIC Investissement on October 18, 2017. Innovacom Gestion, Robert Bosch Venture Capital and SEB Alliance also participated in the round. The funding will be used to to strengthen their market position in Europe, Asia and the USA.</t>
        </is>
      </c>
      <c r="AW151" s="57" t="inlineStr">
        <is>
          <t>CM-CIC Investissement, Innovacom (Paris), Robert Bosch Venture Capital, SEB Alliance, tech2b</t>
        </is>
      </c>
      <c r="AX151" s="58" t="n">
        <v>5.0</v>
      </c>
      <c r="AY151" s="59" t="inlineStr">
        <is>
          <t/>
        </is>
      </c>
      <c r="AZ151" s="60" t="inlineStr">
        <is>
          <t/>
        </is>
      </c>
      <c r="BA151" s="61" t="inlineStr">
        <is>
          <t/>
        </is>
      </c>
      <c r="BB151" s="62" t="inlineStr">
        <is>
          <t>CM-CIC Investissement (www.cmcic-investissement.com), Innovacom (Paris) (www.innovacom.com), Robert Bosch Venture Capital (www.rbvc.com), tech2b (www.tech2b.at)</t>
        </is>
      </c>
      <c r="BC151" s="63" t="inlineStr">
        <is>
          <t/>
        </is>
      </c>
      <c r="BD151" s="64" t="inlineStr">
        <is>
          <t/>
        </is>
      </c>
      <c r="BE151" s="65" t="inlineStr">
        <is>
          <t>Momenta Partners (Advisor: General)</t>
        </is>
      </c>
      <c r="BF151" s="66" t="inlineStr">
        <is>
          <t/>
        </is>
      </c>
      <c r="BG151" s="67" t="n">
        <v>40213.0</v>
      </c>
      <c r="BH151" s="68" t="inlineStr">
        <is>
          <t/>
        </is>
      </c>
      <c r="BI151" s="69" t="inlineStr">
        <is>
          <t/>
        </is>
      </c>
      <c r="BJ151" s="70" t="inlineStr">
        <is>
          <t/>
        </is>
      </c>
      <c r="BK151" s="71" t="inlineStr">
        <is>
          <t/>
        </is>
      </c>
      <c r="BL151" s="72" t="inlineStr">
        <is>
          <t>Accelerator/Incubator</t>
        </is>
      </c>
      <c r="BM151" s="73" t="inlineStr">
        <is>
          <t/>
        </is>
      </c>
      <c r="BN151" s="74" t="inlineStr">
        <is>
          <t/>
        </is>
      </c>
      <c r="BO151" s="75" t="inlineStr">
        <is>
          <t>Other</t>
        </is>
      </c>
      <c r="BP151" s="76" t="inlineStr">
        <is>
          <t/>
        </is>
      </c>
      <c r="BQ151" s="77" t="inlineStr">
        <is>
          <t/>
        </is>
      </c>
      <c r="BR151" s="78" t="inlineStr">
        <is>
          <t/>
        </is>
      </c>
      <c r="BS151" s="79" t="inlineStr">
        <is>
          <t>Completed</t>
        </is>
      </c>
      <c r="BT151" s="80" t="n">
        <v>43026.0</v>
      </c>
      <c r="BU151" s="81" t="n">
        <v>6.1</v>
      </c>
      <c r="BV151" s="82" t="inlineStr">
        <is>
          <t>Actual</t>
        </is>
      </c>
      <c r="BW151" s="83" t="inlineStr">
        <is>
          <t/>
        </is>
      </c>
      <c r="BX151" s="84" t="inlineStr">
        <is>
          <t/>
        </is>
      </c>
      <c r="BY151" s="85" t="inlineStr">
        <is>
          <t>Later Stage VC</t>
        </is>
      </c>
      <c r="BZ151" s="86" t="inlineStr">
        <is>
          <t>Series B</t>
        </is>
      </c>
      <c r="CA151" s="87" t="inlineStr">
        <is>
          <t/>
        </is>
      </c>
      <c r="CB151" s="88" t="inlineStr">
        <is>
          <t>Venture Capital</t>
        </is>
      </c>
      <c r="CC151" s="89" t="inlineStr">
        <is>
          <t/>
        </is>
      </c>
      <c r="CD151" s="90" t="inlineStr">
        <is>
          <t/>
        </is>
      </c>
      <c r="CE151" s="91" t="inlineStr">
        <is>
          <t/>
        </is>
      </c>
      <c r="CF151" s="92" t="inlineStr">
        <is>
          <t>Completed</t>
        </is>
      </c>
      <c r="CG151" s="93" t="inlineStr">
        <is>
          <t>-0,09%</t>
        </is>
      </c>
      <c r="CH151" s="94" t="inlineStr">
        <is>
          <t>25</t>
        </is>
      </c>
      <c r="CI151" s="95" t="inlineStr">
        <is>
          <t>0,23%</t>
        </is>
      </c>
      <c r="CJ151" s="96" t="inlineStr">
        <is>
          <t>71,22%</t>
        </is>
      </c>
      <c r="CK151" s="97" t="inlineStr">
        <is>
          <t>-0,18%</t>
        </is>
      </c>
      <c r="CL151" s="98" t="inlineStr">
        <is>
          <t>27</t>
        </is>
      </c>
      <c r="CM151" s="99" t="inlineStr">
        <is>
          <t>0,00%</t>
        </is>
      </c>
      <c r="CN151" s="100" t="inlineStr">
        <is>
          <t>20</t>
        </is>
      </c>
      <c r="CO151" s="101" t="inlineStr">
        <is>
          <t>0,00%</t>
        </is>
      </c>
      <c r="CP151" s="102" t="inlineStr">
        <is>
          <t>37</t>
        </is>
      </c>
      <c r="CQ151" s="103" t="inlineStr">
        <is>
          <t>-0,36%</t>
        </is>
      </c>
      <c r="CR151" s="104" t="inlineStr">
        <is>
          <t>17</t>
        </is>
      </c>
      <c r="CS151" s="105" t="inlineStr">
        <is>
          <t>0,00%</t>
        </is>
      </c>
      <c r="CT151" s="106" t="inlineStr">
        <is>
          <t>18</t>
        </is>
      </c>
      <c r="CU151" s="107" t="inlineStr">
        <is>
          <t>0,00%</t>
        </is>
      </c>
      <c r="CV151" s="108" t="inlineStr">
        <is>
          <t>21</t>
        </is>
      </c>
      <c r="CW151" s="109" t="inlineStr">
        <is>
          <t>0,88x</t>
        </is>
      </c>
      <c r="CX151" s="110" t="inlineStr">
        <is>
          <t>46</t>
        </is>
      </c>
      <c r="CY151" s="111" t="inlineStr">
        <is>
          <t>0,00x</t>
        </is>
      </c>
      <c r="CZ151" s="112" t="inlineStr">
        <is>
          <t>-0,45%</t>
        </is>
      </c>
      <c r="DA151" s="113" t="inlineStr">
        <is>
          <t>1,68x</t>
        </is>
      </c>
      <c r="DB151" s="114" t="inlineStr">
        <is>
          <t>63</t>
        </is>
      </c>
      <c r="DC151" s="115" t="inlineStr">
        <is>
          <t>0,08x</t>
        </is>
      </c>
      <c r="DD151" s="116" t="inlineStr">
        <is>
          <t>11</t>
        </is>
      </c>
      <c r="DE151" s="117" t="inlineStr">
        <is>
          <t>0,85x</t>
        </is>
      </c>
      <c r="DF151" s="118" t="inlineStr">
        <is>
          <t>46</t>
        </is>
      </c>
      <c r="DG151" s="119" t="inlineStr">
        <is>
          <t>2,50x</t>
        </is>
      </c>
      <c r="DH151" s="120" t="inlineStr">
        <is>
          <t>69</t>
        </is>
      </c>
      <c r="DI151" s="121" t="inlineStr">
        <is>
          <t>0,12x</t>
        </is>
      </c>
      <c r="DJ151" s="122" t="inlineStr">
        <is>
          <t>16</t>
        </is>
      </c>
      <c r="DK151" s="123" t="inlineStr">
        <is>
          <t>0,04x</t>
        </is>
      </c>
      <c r="DL151" s="124" t="inlineStr">
        <is>
          <t>9</t>
        </is>
      </c>
      <c r="DM151" s="125" t="inlineStr">
        <is>
          <t>338</t>
        </is>
      </c>
      <c r="DN151" s="126" t="inlineStr">
        <is>
          <t>-64</t>
        </is>
      </c>
      <c r="DO151" s="127" t="inlineStr">
        <is>
          <t>-15,92%</t>
        </is>
      </c>
      <c r="DP151" s="128" t="inlineStr">
        <is>
          <t>91</t>
        </is>
      </c>
      <c r="DQ151" s="129" t="inlineStr">
        <is>
          <t>2</t>
        </is>
      </c>
      <c r="DR151" s="130" t="inlineStr">
        <is>
          <t>2,25%</t>
        </is>
      </c>
      <c r="DS151" s="131" t="inlineStr">
        <is>
          <t>90</t>
        </is>
      </c>
      <c r="DT151" s="132" t="inlineStr">
        <is>
          <t>-1</t>
        </is>
      </c>
      <c r="DU151" s="133" t="inlineStr">
        <is>
          <t>-1,10%</t>
        </is>
      </c>
      <c r="DV151" s="134" t="inlineStr">
        <is>
          <t>13</t>
        </is>
      </c>
      <c r="DW151" s="135" t="inlineStr">
        <is>
          <t>2</t>
        </is>
      </c>
      <c r="DX151" s="136" t="inlineStr">
        <is>
          <t>18,18%</t>
        </is>
      </c>
      <c r="DY151" s="137" t="inlineStr">
        <is>
          <t>PitchBook Research</t>
        </is>
      </c>
      <c r="DZ151" s="785">
        <f>HYPERLINK("https://my.pitchbook.com?c=62550-10", "View company online")</f>
      </c>
    </row>
    <row r="152">
      <c r="A152" s="139" t="inlineStr">
        <is>
          <t>149043-70</t>
        </is>
      </c>
      <c r="B152" s="140" t="inlineStr">
        <is>
          <t>BC Platforms</t>
        </is>
      </c>
      <c r="C152" s="141" t="inlineStr">
        <is>
          <t/>
        </is>
      </c>
      <c r="D152" s="142" t="inlineStr">
        <is>
          <t/>
        </is>
      </c>
      <c r="E152" s="143" t="inlineStr">
        <is>
          <t>149043-70</t>
        </is>
      </c>
      <c r="F152" s="144" t="inlineStr">
        <is>
          <t>Developer and provider of a genome data management platform designed to optimize decision-making in drug development and delivery. The company's data management platform leverages data integration, secure analysis and interpretation of molecular and clinical information, enabling health organizations to address health challenges.</t>
        </is>
      </c>
      <c r="G152" s="145" t="inlineStr">
        <is>
          <t>Information Technology</t>
        </is>
      </c>
      <c r="H152" s="146" t="inlineStr">
        <is>
          <t>Software</t>
        </is>
      </c>
      <c r="I152" s="147" t="inlineStr">
        <is>
          <t>Business/Productivity Software</t>
        </is>
      </c>
      <c r="J152" s="148" t="inlineStr">
        <is>
          <t>Business/Productivity Software*; Other Healthcare Technology Systems; Database Software</t>
        </is>
      </c>
      <c r="K152" s="149" t="inlineStr">
        <is>
          <t>Life Sciences, SaaS</t>
        </is>
      </c>
      <c r="L152" s="150" t="inlineStr">
        <is>
          <t>Venture Capital-Backed</t>
        </is>
      </c>
      <c r="M152" s="151" t="n">
        <v>9.05</v>
      </c>
      <c r="N152" s="152" t="inlineStr">
        <is>
          <t>Generating Revenue</t>
        </is>
      </c>
      <c r="O152" s="153" t="inlineStr">
        <is>
          <t>Privately Held (backing)</t>
        </is>
      </c>
      <c r="P152" s="154" t="inlineStr">
        <is>
          <t>Venture Capital</t>
        </is>
      </c>
      <c r="Q152" s="155" t="inlineStr">
        <is>
          <t>www.bcplatforms.com</t>
        </is>
      </c>
      <c r="R152" s="156" t="n">
        <v>15.0</v>
      </c>
      <c r="S152" s="157" t="inlineStr">
        <is>
          <t/>
        </is>
      </c>
      <c r="T152" s="158" t="inlineStr">
        <is>
          <t/>
        </is>
      </c>
      <c r="U152" s="159" t="n">
        <v>1997.0</v>
      </c>
      <c r="V152" s="160" t="inlineStr">
        <is>
          <t/>
        </is>
      </c>
      <c r="W152" s="161" t="inlineStr">
        <is>
          <t/>
        </is>
      </c>
      <c r="X152" s="162" t="inlineStr">
        <is>
          <t/>
        </is>
      </c>
      <c r="Y152" s="163" t="inlineStr">
        <is>
          <t/>
        </is>
      </c>
      <c r="Z152" s="164" t="inlineStr">
        <is>
          <t/>
        </is>
      </c>
      <c r="AA152" s="165" t="inlineStr">
        <is>
          <t/>
        </is>
      </c>
      <c r="AB152" s="166" t="inlineStr">
        <is>
          <t/>
        </is>
      </c>
      <c r="AC152" s="167" t="inlineStr">
        <is>
          <t/>
        </is>
      </c>
      <c r="AD152" s="168" t="inlineStr">
        <is>
          <t/>
        </is>
      </c>
      <c r="AE152" s="169" t="inlineStr">
        <is>
          <t>50607-01P</t>
        </is>
      </c>
      <c r="AF152" s="170" t="inlineStr">
        <is>
          <t>Tero Silvola</t>
        </is>
      </c>
      <c r="AG152" s="171" t="inlineStr">
        <is>
          <t>Chief Executive Officer &amp; Board Member</t>
        </is>
      </c>
      <c r="AH152" s="172" t="inlineStr">
        <is>
          <t>tero.silvola@bcplatforms.com</t>
        </is>
      </c>
      <c r="AI152" s="173" t="inlineStr">
        <is>
          <t>+358 (0)40 590 5733</t>
        </is>
      </c>
      <c r="AJ152" s="174" t="inlineStr">
        <is>
          <t>Basel, Switzerland</t>
        </is>
      </c>
      <c r="AK152" s="175" t="inlineStr">
        <is>
          <t>Aeschenvorstadt 71</t>
        </is>
      </c>
      <c r="AL152" s="176" t="inlineStr">
        <is>
          <t/>
        </is>
      </c>
      <c r="AM152" s="177" t="inlineStr">
        <is>
          <t>Basel</t>
        </is>
      </c>
      <c r="AN152" s="178" t="inlineStr">
        <is>
          <t/>
        </is>
      </c>
      <c r="AO152" s="179" t="inlineStr">
        <is>
          <t>4058</t>
        </is>
      </c>
      <c r="AP152" s="180" t="inlineStr">
        <is>
          <t>Switzerland</t>
        </is>
      </c>
      <c r="AQ152" s="181" t="inlineStr">
        <is>
          <t>+41 (0)61 225 4363</t>
        </is>
      </c>
      <c r="AR152" s="182" t="inlineStr">
        <is>
          <t/>
        </is>
      </c>
      <c r="AS152" s="183" t="inlineStr">
        <is>
          <t/>
        </is>
      </c>
      <c r="AT152" s="184" t="inlineStr">
        <is>
          <t>Europe</t>
        </is>
      </c>
      <c r="AU152" s="185" t="inlineStr">
        <is>
          <t>Western Europe</t>
        </is>
      </c>
      <c r="AV152" s="186" t="inlineStr">
        <is>
          <t>The company raised $10 million of Series B venture funding in a deal led by Debiopharm Group on May 9, 2017. BioMedPartners, Boston Millennia and Tesi also participated in the round. The company will use the funds to launch new technologies in 2017 integrating complex clinical and genomic data, and grow its existing genomic data management software business worldwide.</t>
        </is>
      </c>
      <c r="AW152" s="187" t="inlineStr">
        <is>
          <t>BioMedPartners, Boston Millennia Partners, Debiopharm Group, Finnish Industry Investment, Tekes</t>
        </is>
      </c>
      <c r="AX152" s="188" t="n">
        <v>5.0</v>
      </c>
      <c r="AY152" s="189" t="inlineStr">
        <is>
          <t/>
        </is>
      </c>
      <c r="AZ152" s="190" t="inlineStr">
        <is>
          <t/>
        </is>
      </c>
      <c r="BA152" s="191" t="inlineStr">
        <is>
          <t/>
        </is>
      </c>
      <c r="BB152" s="192" t="inlineStr">
        <is>
          <t>BioMedPartners (www.biomedvc.com), Boston Millennia Partners (www.bostonmillenniapartners.com), Debiopharm Group (www.debiopharm.com), Finnish Industry Investment (www.industryinvestment.com), Tekes (www.tekes.fi)</t>
        </is>
      </c>
      <c r="BC152" s="193" t="inlineStr">
        <is>
          <t/>
        </is>
      </c>
      <c r="BD152" s="194" t="inlineStr">
        <is>
          <t/>
        </is>
      </c>
      <c r="BE152" s="195" t="inlineStr">
        <is>
          <t/>
        </is>
      </c>
      <c r="BF152" s="196" t="inlineStr">
        <is>
          <t/>
        </is>
      </c>
      <c r="BG152" s="197" t="n">
        <v>41869.0</v>
      </c>
      <c r="BH152" s="198" t="inlineStr">
        <is>
          <t/>
        </is>
      </c>
      <c r="BI152" s="199" t="inlineStr">
        <is>
          <t/>
        </is>
      </c>
      <c r="BJ152" s="200" t="inlineStr">
        <is>
          <t/>
        </is>
      </c>
      <c r="BK152" s="201" t="inlineStr">
        <is>
          <t/>
        </is>
      </c>
      <c r="BL152" s="202" t="inlineStr">
        <is>
          <t>Grant</t>
        </is>
      </c>
      <c r="BM152" s="203" t="inlineStr">
        <is>
          <t/>
        </is>
      </c>
      <c r="BN152" s="204" t="inlineStr">
        <is>
          <t/>
        </is>
      </c>
      <c r="BO152" s="205" t="inlineStr">
        <is>
          <t>Other</t>
        </is>
      </c>
      <c r="BP152" s="206" t="inlineStr">
        <is>
          <t/>
        </is>
      </c>
      <c r="BQ152" s="207" t="inlineStr">
        <is>
          <t/>
        </is>
      </c>
      <c r="BR152" s="208" t="inlineStr">
        <is>
          <t/>
        </is>
      </c>
      <c r="BS152" s="209" t="inlineStr">
        <is>
          <t>Completed</t>
        </is>
      </c>
      <c r="BT152" s="210" t="n">
        <v>42864.0</v>
      </c>
      <c r="BU152" s="211" t="n">
        <v>9.05</v>
      </c>
      <c r="BV152" s="212" t="inlineStr">
        <is>
          <t>Actual</t>
        </is>
      </c>
      <c r="BW152" s="213" t="inlineStr">
        <is>
          <t/>
        </is>
      </c>
      <c r="BX152" s="214" t="inlineStr">
        <is>
          <t/>
        </is>
      </c>
      <c r="BY152" s="215" t="inlineStr">
        <is>
          <t>Later Stage VC</t>
        </is>
      </c>
      <c r="BZ152" s="216" t="inlineStr">
        <is>
          <t>Series B</t>
        </is>
      </c>
      <c r="CA152" s="217" t="inlineStr">
        <is>
          <t/>
        </is>
      </c>
      <c r="CB152" s="218" t="inlineStr">
        <is>
          <t>Venture Capital</t>
        </is>
      </c>
      <c r="CC152" s="219" t="inlineStr">
        <is>
          <t/>
        </is>
      </c>
      <c r="CD152" s="220" t="inlineStr">
        <is>
          <t/>
        </is>
      </c>
      <c r="CE152" s="221" t="inlineStr">
        <is>
          <t/>
        </is>
      </c>
      <c r="CF152" s="222" t="inlineStr">
        <is>
          <t>Completed</t>
        </is>
      </c>
      <c r="CG152" s="223" t="inlineStr">
        <is>
          <t>0,07%</t>
        </is>
      </c>
      <c r="CH152" s="224" t="inlineStr">
        <is>
          <t>80</t>
        </is>
      </c>
      <c r="CI152" s="225" t="inlineStr">
        <is>
          <t>0,06%</t>
        </is>
      </c>
      <c r="CJ152" s="226" t="inlineStr">
        <is>
          <t>1.051,07%</t>
        </is>
      </c>
      <c r="CK152" s="227" t="inlineStr">
        <is>
          <t>-0,39%</t>
        </is>
      </c>
      <c r="CL152" s="228" t="inlineStr">
        <is>
          <t>25</t>
        </is>
      </c>
      <c r="CM152" s="229" t="inlineStr">
        <is>
          <t>0,53%</t>
        </is>
      </c>
      <c r="CN152" s="230" t="inlineStr">
        <is>
          <t>90</t>
        </is>
      </c>
      <c r="CO152" s="231" t="inlineStr">
        <is>
          <t>0,00%</t>
        </is>
      </c>
      <c r="CP152" s="232" t="inlineStr">
        <is>
          <t>37</t>
        </is>
      </c>
      <c r="CQ152" s="233" t="inlineStr">
        <is>
          <t>-0,78%</t>
        </is>
      </c>
      <c r="CR152" s="234" t="inlineStr">
        <is>
          <t>12</t>
        </is>
      </c>
      <c r="CS152" s="235" t="inlineStr">
        <is>
          <t>0,23%</t>
        </is>
      </c>
      <c r="CT152" s="236" t="inlineStr">
        <is>
          <t>72</t>
        </is>
      </c>
      <c r="CU152" s="237" t="inlineStr">
        <is>
          <t>0,83%</t>
        </is>
      </c>
      <c r="CV152" s="238" t="inlineStr">
        <is>
          <t>96</t>
        </is>
      </c>
      <c r="CW152" s="239" t="inlineStr">
        <is>
          <t>1,31x</t>
        </is>
      </c>
      <c r="CX152" s="240" t="inlineStr">
        <is>
          <t>55</t>
        </is>
      </c>
      <c r="CY152" s="241" t="inlineStr">
        <is>
          <t>0,01x</t>
        </is>
      </c>
      <c r="CZ152" s="242" t="inlineStr">
        <is>
          <t>0,39%</t>
        </is>
      </c>
      <c r="DA152" s="243" t="inlineStr">
        <is>
          <t>2,25x</t>
        </is>
      </c>
      <c r="DB152" s="244" t="inlineStr">
        <is>
          <t>69</t>
        </is>
      </c>
      <c r="DC152" s="245" t="inlineStr">
        <is>
          <t>0,37x</t>
        </is>
      </c>
      <c r="DD152" s="246" t="inlineStr">
        <is>
          <t>30</t>
        </is>
      </c>
      <c r="DE152" s="247" t="inlineStr">
        <is>
          <t>0,16x</t>
        </is>
      </c>
      <c r="DF152" s="248" t="inlineStr">
        <is>
          <t>8</t>
        </is>
      </c>
      <c r="DG152" s="249" t="inlineStr">
        <is>
          <t>4,33x</t>
        </is>
      </c>
      <c r="DH152" s="250" t="inlineStr">
        <is>
          <t>77</t>
        </is>
      </c>
      <c r="DI152" s="251" t="inlineStr">
        <is>
          <t>0,14x</t>
        </is>
      </c>
      <c r="DJ152" s="252" t="inlineStr">
        <is>
          <t>18</t>
        </is>
      </c>
      <c r="DK152" s="253" t="inlineStr">
        <is>
          <t>0,59x</t>
        </is>
      </c>
      <c r="DL152" s="254" t="inlineStr">
        <is>
          <t>41</t>
        </is>
      </c>
      <c r="DM152" s="255" t="inlineStr">
        <is>
          <t>69</t>
        </is>
      </c>
      <c r="DN152" s="256" t="inlineStr">
        <is>
          <t>-51</t>
        </is>
      </c>
      <c r="DO152" s="257" t="inlineStr">
        <is>
          <t>-42,50%</t>
        </is>
      </c>
      <c r="DP152" s="258" t="inlineStr">
        <is>
          <t>112</t>
        </is>
      </c>
      <c r="DQ152" s="259" t="inlineStr">
        <is>
          <t>0</t>
        </is>
      </c>
      <c r="DR152" s="260" t="inlineStr">
        <is>
          <t>0,00%</t>
        </is>
      </c>
      <c r="DS152" s="261" t="inlineStr">
        <is>
          <t>155</t>
        </is>
      </c>
      <c r="DT152" s="262" t="inlineStr">
        <is>
          <t>0</t>
        </is>
      </c>
      <c r="DU152" s="263" t="inlineStr">
        <is>
          <t>0,00%</t>
        </is>
      </c>
      <c r="DV152" s="264" t="inlineStr">
        <is>
          <t>221</t>
        </is>
      </c>
      <c r="DW152" s="265" t="inlineStr">
        <is>
          <t>1</t>
        </is>
      </c>
      <c r="DX152" s="266" t="inlineStr">
        <is>
          <t>0,45%</t>
        </is>
      </c>
      <c r="DY152" s="267" t="inlineStr">
        <is>
          <t>PitchBook Research</t>
        </is>
      </c>
      <c r="DZ152" s="786">
        <f>HYPERLINK("https://my.pitchbook.com?c=149043-70", "View company online")</f>
      </c>
    </row>
    <row r="153">
      <c r="A153" s="9" t="inlineStr">
        <is>
          <t>57711-79</t>
        </is>
      </c>
      <c r="B153" s="10" t="inlineStr">
        <is>
          <t>Labster</t>
        </is>
      </c>
      <c r="C153" s="11" t="inlineStr">
        <is>
          <t/>
        </is>
      </c>
      <c r="D153" s="12" t="inlineStr">
        <is>
          <t/>
        </is>
      </c>
      <c r="E153" s="13" t="inlineStr">
        <is>
          <t>57711-79</t>
        </is>
      </c>
      <c r="F153" s="14" t="inlineStr">
        <is>
          <t>Developer of fully interactive advanced lab simulations designed to create scalable science training software with increased learning outcomes and motivation. The company's advanced lab simulations offers a virtual laboratory based on mathematical algorithms that support open-ended investigations where students can work in an online environment that simulates reality, enabling students access to an immersive learning environment focused on high learning outcomes. It also includes molecular three dimension animations, quiz questions and background theory that engages students in game-like multimedia experience.</t>
        </is>
      </c>
      <c r="G153" s="15" t="inlineStr">
        <is>
          <t>Information Technology</t>
        </is>
      </c>
      <c r="H153" s="16" t="inlineStr">
        <is>
          <t>Software</t>
        </is>
      </c>
      <c r="I153" s="17" t="inlineStr">
        <is>
          <t>Educational Software</t>
        </is>
      </c>
      <c r="J153" s="18" t="inlineStr">
        <is>
          <t>Educational Software*</t>
        </is>
      </c>
      <c r="K153" s="19" t="inlineStr">
        <is>
          <t>EdTech</t>
        </is>
      </c>
      <c r="L153" s="20" t="inlineStr">
        <is>
          <t>Venture Capital-Backed</t>
        </is>
      </c>
      <c r="M153" s="21" t="n">
        <v>8.82</v>
      </c>
      <c r="N153" s="22" t="inlineStr">
        <is>
          <t>Profitable</t>
        </is>
      </c>
      <c r="O153" s="23" t="inlineStr">
        <is>
          <t>Privately Held (backing)</t>
        </is>
      </c>
      <c r="P153" s="24" t="inlineStr">
        <is>
          <t>Venture Capital</t>
        </is>
      </c>
      <c r="Q153" s="25" t="inlineStr">
        <is>
          <t>www.labster.com</t>
        </is>
      </c>
      <c r="R153" s="26" t="n">
        <v>31.0</v>
      </c>
      <c r="S153" s="27" t="inlineStr">
        <is>
          <t/>
        </is>
      </c>
      <c r="T153" s="28" t="inlineStr">
        <is>
          <t/>
        </is>
      </c>
      <c r="U153" s="29" t="n">
        <v>2010.0</v>
      </c>
      <c r="V153" s="30" t="inlineStr">
        <is>
          <t/>
        </is>
      </c>
      <c r="W153" s="31" t="inlineStr">
        <is>
          <t/>
        </is>
      </c>
      <c r="X153" s="32" t="inlineStr">
        <is>
          <t/>
        </is>
      </c>
      <c r="Y153" s="33" t="inlineStr">
        <is>
          <t/>
        </is>
      </c>
      <c r="Z153" s="34" t="n">
        <v>0.95808</v>
      </c>
      <c r="AA153" s="35" t="n">
        <v>-0.75887</v>
      </c>
      <c r="AB153" s="36" t="inlineStr">
        <is>
          <t/>
        </is>
      </c>
      <c r="AC153" s="37" t="n">
        <v>-0.48378</v>
      </c>
      <c r="AD153" s="38" t="inlineStr">
        <is>
          <t>FY 2016</t>
        </is>
      </c>
      <c r="AE153" s="39" t="inlineStr">
        <is>
          <t>51434-29P</t>
        </is>
      </c>
      <c r="AF153" s="40" t="inlineStr">
        <is>
          <t>Mads Tvillinggaard Bonde</t>
        </is>
      </c>
      <c r="AG153" s="41" t="inlineStr">
        <is>
          <t>Co-Founder &amp; Chief Executive Officer</t>
        </is>
      </c>
      <c r="AH153" s="42" t="inlineStr">
        <is>
          <t>mads@labster.com</t>
        </is>
      </c>
      <c r="AI153" s="43" t="inlineStr">
        <is>
          <t>+45 6143 7244</t>
        </is>
      </c>
      <c r="AJ153" s="44" t="inlineStr">
        <is>
          <t>Copenhagen, Denmark</t>
        </is>
      </c>
      <c r="AK153" s="45" t="inlineStr">
        <is>
          <t>Danneskiold-Samsøes Alle 41</t>
        </is>
      </c>
      <c r="AL153" s="46" t="inlineStr">
        <is>
          <t/>
        </is>
      </c>
      <c r="AM153" s="47" t="inlineStr">
        <is>
          <t>Copenhagen</t>
        </is>
      </c>
      <c r="AN153" s="48" t="inlineStr">
        <is>
          <t/>
        </is>
      </c>
      <c r="AO153" s="49" t="inlineStr">
        <is>
          <t>1434</t>
        </is>
      </c>
      <c r="AP153" s="50" t="inlineStr">
        <is>
          <t>Denmark</t>
        </is>
      </c>
      <c r="AQ153" s="51" t="inlineStr">
        <is>
          <t>+45 6143 7244</t>
        </is>
      </c>
      <c r="AR153" s="52" t="inlineStr">
        <is>
          <t/>
        </is>
      </c>
      <c r="AS153" s="53" t="inlineStr">
        <is>
          <t>info@labster.com</t>
        </is>
      </c>
      <c r="AT153" s="54" t="inlineStr">
        <is>
          <t>Europe</t>
        </is>
      </c>
      <c r="AU153" s="55" t="inlineStr">
        <is>
          <t>Northern Europe</t>
        </is>
      </c>
      <c r="AV153" s="56" t="inlineStr">
        <is>
          <t>The company raised $10 million of Series A venture funding in a deal led by Balderton Capital on September 6, 2017. Northzone and David Helgason also participated in this round. The company intends to use the funds to continue its expansion in in the US and Europe, as well as initiate special projects in South America, the Middle East and Africa, develop new simulations for students in chemistry, physics and medicine, and to conduct research into the learning impact of virtual content and new technologies on students from around the world.</t>
        </is>
      </c>
      <c r="AW153" s="57" t="inlineStr">
        <is>
          <t>Balderton Capital, Danish Business Innovation Fund, Danish Ministry of Science, Innovation and Higher Education, Livit, Northzone Ventures, Vækstfonden</t>
        </is>
      </c>
      <c r="AX153" s="58" t="n">
        <v>6.0</v>
      </c>
      <c r="AY153" s="59" t="inlineStr">
        <is>
          <t/>
        </is>
      </c>
      <c r="AZ153" s="60" t="inlineStr">
        <is>
          <t/>
        </is>
      </c>
      <c r="BA153" s="61" t="inlineStr">
        <is>
          <t/>
        </is>
      </c>
      <c r="BB153" s="62" t="inlineStr">
        <is>
          <t>Balderton Capital (www.balderton.com), Danish Ministry of Science, Innovation and Higher Education (www.en.fi.dk), Northzone Ventures (www.northzone.com), Vækstfonden (www.vf.dk)</t>
        </is>
      </c>
      <c r="BC153" s="63" t="inlineStr">
        <is>
          <t/>
        </is>
      </c>
      <c r="BD153" s="64" t="inlineStr">
        <is>
          <t/>
        </is>
      </c>
      <c r="BE153" s="65" t="inlineStr">
        <is>
          <t>Martinsen Statsautoriseret Revisionspartnerselskab (Auditor)</t>
        </is>
      </c>
      <c r="BF153" s="66" t="inlineStr">
        <is>
          <t/>
        </is>
      </c>
      <c r="BG153" s="67" t="n">
        <v>41093.0</v>
      </c>
      <c r="BH153" s="68" t="n">
        <v>0.43</v>
      </c>
      <c r="BI153" s="69" t="inlineStr">
        <is>
          <t>Actual</t>
        </is>
      </c>
      <c r="BJ153" s="70" t="inlineStr">
        <is>
          <t/>
        </is>
      </c>
      <c r="BK153" s="71" t="inlineStr">
        <is>
          <t/>
        </is>
      </c>
      <c r="BL153" s="72" t="inlineStr">
        <is>
          <t>Seed Round</t>
        </is>
      </c>
      <c r="BM153" s="73" t="inlineStr">
        <is>
          <t>Seed</t>
        </is>
      </c>
      <c r="BN153" s="74" t="inlineStr">
        <is>
          <t/>
        </is>
      </c>
      <c r="BO153" s="75" t="inlineStr">
        <is>
          <t>Venture Capital</t>
        </is>
      </c>
      <c r="BP153" s="76" t="inlineStr">
        <is>
          <t/>
        </is>
      </c>
      <c r="BQ153" s="77" t="inlineStr">
        <is>
          <t/>
        </is>
      </c>
      <c r="BR153" s="78" t="inlineStr">
        <is>
          <t/>
        </is>
      </c>
      <c r="BS153" s="79" t="inlineStr">
        <is>
          <t>Completed</t>
        </is>
      </c>
      <c r="BT153" s="80" t="n">
        <v>42984.0</v>
      </c>
      <c r="BU153" s="81" t="n">
        <v>8.39</v>
      </c>
      <c r="BV153" s="82" t="inlineStr">
        <is>
          <t>Actual</t>
        </is>
      </c>
      <c r="BW153" s="83" t="inlineStr">
        <is>
          <t/>
        </is>
      </c>
      <c r="BX153" s="84" t="inlineStr">
        <is>
          <t/>
        </is>
      </c>
      <c r="BY153" s="85" t="inlineStr">
        <is>
          <t>Later Stage VC</t>
        </is>
      </c>
      <c r="BZ153" s="86" t="inlineStr">
        <is>
          <t>Series A</t>
        </is>
      </c>
      <c r="CA153" s="87" t="inlineStr">
        <is>
          <t/>
        </is>
      </c>
      <c r="CB153" s="88" t="inlineStr">
        <is>
          <t>Venture Capital</t>
        </is>
      </c>
      <c r="CC153" s="89" t="inlineStr">
        <is>
          <t/>
        </is>
      </c>
      <c r="CD153" s="90" t="inlineStr">
        <is>
          <t/>
        </is>
      </c>
      <c r="CE153" s="91" t="inlineStr">
        <is>
          <t/>
        </is>
      </c>
      <c r="CF153" s="92" t="inlineStr">
        <is>
          <t>Completed</t>
        </is>
      </c>
      <c r="CG153" s="93" t="inlineStr">
        <is>
          <t>-1,20%</t>
        </is>
      </c>
      <c r="CH153" s="94" t="inlineStr">
        <is>
          <t>13</t>
        </is>
      </c>
      <c r="CI153" s="95" t="inlineStr">
        <is>
          <t>-0,03%</t>
        </is>
      </c>
      <c r="CJ153" s="96" t="inlineStr">
        <is>
          <t>-2,61%</t>
        </is>
      </c>
      <c r="CK153" s="97" t="inlineStr">
        <is>
          <t>-2,74%</t>
        </is>
      </c>
      <c r="CL153" s="98" t="inlineStr">
        <is>
          <t>12</t>
        </is>
      </c>
      <c r="CM153" s="99" t="inlineStr">
        <is>
          <t>0,33%</t>
        </is>
      </c>
      <c r="CN153" s="100" t="inlineStr">
        <is>
          <t>82</t>
        </is>
      </c>
      <c r="CO153" s="101" t="inlineStr">
        <is>
          <t>-5,58%</t>
        </is>
      </c>
      <c r="CP153" s="102" t="inlineStr">
        <is>
          <t>20</t>
        </is>
      </c>
      <c r="CQ153" s="103" t="inlineStr">
        <is>
          <t>0,10%</t>
        </is>
      </c>
      <c r="CR153" s="104" t="inlineStr">
        <is>
          <t>90</t>
        </is>
      </c>
      <c r="CS153" s="105" t="inlineStr">
        <is>
          <t>0,22%</t>
        </is>
      </c>
      <c r="CT153" s="106" t="inlineStr">
        <is>
          <t>71</t>
        </is>
      </c>
      <c r="CU153" s="107" t="inlineStr">
        <is>
          <t>0,44%</t>
        </is>
      </c>
      <c r="CV153" s="108" t="inlineStr">
        <is>
          <t>89</t>
        </is>
      </c>
      <c r="CW153" s="109" t="inlineStr">
        <is>
          <t>8,66x</t>
        </is>
      </c>
      <c r="CX153" s="110" t="inlineStr">
        <is>
          <t>86</t>
        </is>
      </c>
      <c r="CY153" s="111" t="inlineStr">
        <is>
          <t>0,00x</t>
        </is>
      </c>
      <c r="CZ153" s="112" t="inlineStr">
        <is>
          <t>-0,02%</t>
        </is>
      </c>
      <c r="DA153" s="113" t="inlineStr">
        <is>
          <t>11,22x</t>
        </is>
      </c>
      <c r="DB153" s="114" t="inlineStr">
        <is>
          <t>90</t>
        </is>
      </c>
      <c r="DC153" s="115" t="inlineStr">
        <is>
          <t>6,10x</t>
        </is>
      </c>
      <c r="DD153" s="116" t="inlineStr">
        <is>
          <t>79</t>
        </is>
      </c>
      <c r="DE153" s="117" t="inlineStr">
        <is>
          <t>9,05x</t>
        </is>
      </c>
      <c r="DF153" s="118" t="inlineStr">
        <is>
          <t>87</t>
        </is>
      </c>
      <c r="DG153" s="119" t="inlineStr">
        <is>
          <t>13,39x</t>
        </is>
      </c>
      <c r="DH153" s="120" t="inlineStr">
        <is>
          <t>90</t>
        </is>
      </c>
      <c r="DI153" s="121" t="inlineStr">
        <is>
          <t>8,68x</t>
        </is>
      </c>
      <c r="DJ153" s="122" t="inlineStr">
        <is>
          <t>80</t>
        </is>
      </c>
      <c r="DK153" s="123" t="inlineStr">
        <is>
          <t>3,51x</t>
        </is>
      </c>
      <c r="DL153" s="124" t="inlineStr">
        <is>
          <t>74</t>
        </is>
      </c>
      <c r="DM153" s="125" t="inlineStr">
        <is>
          <t>3.310</t>
        </is>
      </c>
      <c r="DN153" s="126" t="inlineStr">
        <is>
          <t>227</t>
        </is>
      </c>
      <c r="DO153" s="127" t="inlineStr">
        <is>
          <t>7,36%</t>
        </is>
      </c>
      <c r="DP153" s="128" t="inlineStr">
        <is>
          <t>6.858</t>
        </is>
      </c>
      <c r="DQ153" s="129" t="inlineStr">
        <is>
          <t>58</t>
        </is>
      </c>
      <c r="DR153" s="130" t="inlineStr">
        <is>
          <t>0,85%</t>
        </is>
      </c>
      <c r="DS153" s="131" t="inlineStr">
        <is>
          <t>482</t>
        </is>
      </c>
      <c r="DT153" s="132" t="inlineStr">
        <is>
          <t>0</t>
        </is>
      </c>
      <c r="DU153" s="133" t="inlineStr">
        <is>
          <t>0,00%</t>
        </is>
      </c>
      <c r="DV153" s="134" t="inlineStr">
        <is>
          <t>1.307</t>
        </is>
      </c>
      <c r="DW153" s="135" t="inlineStr">
        <is>
          <t>9</t>
        </is>
      </c>
      <c r="DX153" s="136" t="inlineStr">
        <is>
          <t>0,69%</t>
        </is>
      </c>
      <c r="DY153" s="137" t="inlineStr">
        <is>
          <t>PitchBook Research</t>
        </is>
      </c>
      <c r="DZ153" s="785">
        <f>HYPERLINK("https://my.pitchbook.com?c=57711-79", "View company online")</f>
      </c>
    </row>
    <row r="154">
      <c r="A154" s="139" t="inlineStr">
        <is>
          <t>155315-53</t>
        </is>
      </c>
      <c r="B154" s="140" t="inlineStr">
        <is>
          <t>Specim</t>
        </is>
      </c>
      <c r="C154" s="141" t="inlineStr">
        <is>
          <t/>
        </is>
      </c>
      <c r="D154" s="142" t="inlineStr">
        <is>
          <t/>
        </is>
      </c>
      <c r="E154" s="143" t="inlineStr">
        <is>
          <t>155315-53</t>
        </is>
      </c>
      <c r="F154" s="144" t="inlineStr">
        <is>
          <t>Manufacturer of hyperspectral imaging instruments designed to meet the requirements of the advanced applications in remote sensing. The company's hyperspectral imaging instruments provides imaging spectrographs and spectral cameras that meets the increasing range of demanding industrial and science applications like colour measurement, recycling, geological core logging, process analytical technology (PAT), life sciences, chemical imaging, and forensics, enabling clients to offer efficient outcomes in their field of discovery and research.</t>
        </is>
      </c>
      <c r="G154" s="145" t="inlineStr">
        <is>
          <t>Information Technology</t>
        </is>
      </c>
      <c r="H154" s="146" t="inlineStr">
        <is>
          <t>Computer Hardware</t>
        </is>
      </c>
      <c r="I154" s="147" t="inlineStr">
        <is>
          <t>Electronic Equipment and Instruments</t>
        </is>
      </c>
      <c r="J154" s="148" t="inlineStr">
        <is>
          <t>Electronic Equipment and Instruments*</t>
        </is>
      </c>
      <c r="K154" s="149" t="inlineStr">
        <is>
          <t>CleanTech, Life Sciences, Manufacturing</t>
        </is>
      </c>
      <c r="L154" s="150" t="inlineStr">
        <is>
          <t>Venture Capital-Backed</t>
        </is>
      </c>
      <c r="M154" s="151" t="n">
        <v>8.8</v>
      </c>
      <c r="N154" s="152" t="inlineStr">
        <is>
          <t>Generating Revenue</t>
        </is>
      </c>
      <c r="O154" s="153" t="inlineStr">
        <is>
          <t>Privately Held (backing)</t>
        </is>
      </c>
      <c r="P154" s="154" t="inlineStr">
        <is>
          <t>Venture Capital</t>
        </is>
      </c>
      <c r="Q154" s="155" t="inlineStr">
        <is>
          <t>www.specim.fi</t>
        </is>
      </c>
      <c r="R154" s="156" t="n">
        <v>60.0</v>
      </c>
      <c r="S154" s="157" t="inlineStr">
        <is>
          <t/>
        </is>
      </c>
      <c r="T154" s="158" t="inlineStr">
        <is>
          <t/>
        </is>
      </c>
      <c r="U154" s="159" t="n">
        <v>1995.0</v>
      </c>
      <c r="V154" s="160" t="inlineStr">
        <is>
          <t/>
        </is>
      </c>
      <c r="W154" s="161" t="inlineStr">
        <is>
          <t/>
        </is>
      </c>
      <c r="X154" s="162" t="inlineStr">
        <is>
          <t/>
        </is>
      </c>
      <c r="Y154" s="163" t="n">
        <v>10.49141</v>
      </c>
      <c r="Z154" s="164" t="inlineStr">
        <is>
          <t/>
        </is>
      </c>
      <c r="AA154" s="165" t="inlineStr">
        <is>
          <t/>
        </is>
      </c>
      <c r="AB154" s="166" t="inlineStr">
        <is>
          <t/>
        </is>
      </c>
      <c r="AC154" s="167" t="inlineStr">
        <is>
          <t/>
        </is>
      </c>
      <c r="AD154" s="168" t="inlineStr">
        <is>
          <t>FY 2016</t>
        </is>
      </c>
      <c r="AE154" s="169" t="inlineStr">
        <is>
          <t>130259-62P</t>
        </is>
      </c>
      <c r="AF154" s="170" t="inlineStr">
        <is>
          <t>Esko Herrala</t>
        </is>
      </c>
      <c r="AG154" s="171" t="inlineStr">
        <is>
          <t>Co-Founder &amp; Owner</t>
        </is>
      </c>
      <c r="AH154" s="172" t="inlineStr">
        <is>
          <t>esko.herrala@specim.fi</t>
        </is>
      </c>
      <c r="AI154" s="173" t="inlineStr">
        <is>
          <t>+358 (0)10 424 4400</t>
        </is>
      </c>
      <c r="AJ154" s="174" t="inlineStr">
        <is>
          <t>Oulu, Finland</t>
        </is>
      </c>
      <c r="AK154" s="175" t="inlineStr">
        <is>
          <t>P.O Box 110</t>
        </is>
      </c>
      <c r="AL154" s="176" t="inlineStr">
        <is>
          <t/>
        </is>
      </c>
      <c r="AM154" s="177" t="inlineStr">
        <is>
          <t>Oulu</t>
        </is>
      </c>
      <c r="AN154" s="178" t="inlineStr">
        <is>
          <t/>
        </is>
      </c>
      <c r="AO154" s="179" t="inlineStr">
        <is>
          <t>90571</t>
        </is>
      </c>
      <c r="AP154" s="180" t="inlineStr">
        <is>
          <t>Finland</t>
        </is>
      </c>
      <c r="AQ154" s="181" t="inlineStr">
        <is>
          <t>+358 (0)10 424 4400</t>
        </is>
      </c>
      <c r="AR154" s="182" t="inlineStr">
        <is>
          <t>+358 (0)10 424 4401</t>
        </is>
      </c>
      <c r="AS154" s="183" t="inlineStr">
        <is>
          <t>info@specim.fi</t>
        </is>
      </c>
      <c r="AT154" s="184" t="inlineStr">
        <is>
          <t>Europe</t>
        </is>
      </c>
      <c r="AU154" s="185" t="inlineStr">
        <is>
          <t>Northern Europe</t>
        </is>
      </c>
      <c r="AV154" s="186" t="inlineStr">
        <is>
          <t>The company raised EUR 3.5 million of venture funding from Bocap on August 23, 2017.</t>
        </is>
      </c>
      <c r="AW154" s="187" t="inlineStr">
        <is>
          <t>Bocap, Nordic Option, Noweco Partners, Tekes, Teknoventure Management</t>
        </is>
      </c>
      <c r="AX154" s="188" t="n">
        <v>5.0</v>
      </c>
      <c r="AY154" s="189" t="inlineStr">
        <is>
          <t/>
        </is>
      </c>
      <c r="AZ154" s="190" t="inlineStr">
        <is>
          <t/>
        </is>
      </c>
      <c r="BA154" s="191" t="inlineStr">
        <is>
          <t/>
        </is>
      </c>
      <c r="BB154" s="192" t="inlineStr">
        <is>
          <t>Bocap (www.bocap.fi), Nordic Option (www.nordicoption.fi), Noweco Partners (www.noweco.fi), Tekes (www.tekes.fi)</t>
        </is>
      </c>
      <c r="BC154" s="193" t="inlineStr">
        <is>
          <t/>
        </is>
      </c>
      <c r="BD154" s="194" t="inlineStr">
        <is>
          <t/>
        </is>
      </c>
      <c r="BE154" s="195" t="inlineStr">
        <is>
          <t/>
        </is>
      </c>
      <c r="BF154" s="196" t="inlineStr">
        <is>
          <t/>
        </is>
      </c>
      <c r="BG154" s="197" t="n">
        <v>42254.0</v>
      </c>
      <c r="BH154" s="198" t="n">
        <v>5.3</v>
      </c>
      <c r="BI154" s="199" t="inlineStr">
        <is>
          <t>Actual</t>
        </is>
      </c>
      <c r="BJ154" s="200" t="inlineStr">
        <is>
          <t/>
        </is>
      </c>
      <c r="BK154" s="201" t="inlineStr">
        <is>
          <t/>
        </is>
      </c>
      <c r="BL154" s="202" t="inlineStr">
        <is>
          <t>Later Stage VC</t>
        </is>
      </c>
      <c r="BM154" s="203" t="inlineStr">
        <is>
          <t/>
        </is>
      </c>
      <c r="BN154" s="204" t="inlineStr">
        <is>
          <t/>
        </is>
      </c>
      <c r="BO154" s="205" t="inlineStr">
        <is>
          <t>Venture Capital</t>
        </is>
      </c>
      <c r="BP154" s="206" t="inlineStr">
        <is>
          <t/>
        </is>
      </c>
      <c r="BQ154" s="207" t="inlineStr">
        <is>
          <t/>
        </is>
      </c>
      <c r="BR154" s="208" t="inlineStr">
        <is>
          <t/>
        </is>
      </c>
      <c r="BS154" s="209" t="inlineStr">
        <is>
          <t>Completed</t>
        </is>
      </c>
      <c r="BT154" s="210" t="n">
        <v>42970.0</v>
      </c>
      <c r="BU154" s="211" t="n">
        <v>3.5</v>
      </c>
      <c r="BV154" s="212" t="inlineStr">
        <is>
          <t>Actual</t>
        </is>
      </c>
      <c r="BW154" s="213" t="inlineStr">
        <is>
          <t/>
        </is>
      </c>
      <c r="BX154" s="214" t="inlineStr">
        <is>
          <t/>
        </is>
      </c>
      <c r="BY154" s="215" t="inlineStr">
        <is>
          <t>Later Stage VC</t>
        </is>
      </c>
      <c r="BZ154" s="216" t="inlineStr">
        <is>
          <t/>
        </is>
      </c>
      <c r="CA154" s="217" t="inlineStr">
        <is>
          <t/>
        </is>
      </c>
      <c r="CB154" s="218" t="inlineStr">
        <is>
          <t>Venture Capital</t>
        </is>
      </c>
      <c r="CC154" s="219" t="inlineStr">
        <is>
          <t/>
        </is>
      </c>
      <c r="CD154" s="220" t="inlineStr">
        <is>
          <t/>
        </is>
      </c>
      <c r="CE154" s="221" t="inlineStr">
        <is>
          <t/>
        </is>
      </c>
      <c r="CF154" s="222" t="inlineStr">
        <is>
          <t>Completed</t>
        </is>
      </c>
      <c r="CG154" s="223" t="inlineStr">
        <is>
          <t>-1,49%</t>
        </is>
      </c>
      <c r="CH154" s="224" t="inlineStr">
        <is>
          <t>11</t>
        </is>
      </c>
      <c r="CI154" s="225" t="inlineStr">
        <is>
          <t>0,05%</t>
        </is>
      </c>
      <c r="CJ154" s="226" t="inlineStr">
        <is>
          <t>3,54%</t>
        </is>
      </c>
      <c r="CK154" s="227" t="inlineStr">
        <is>
          <t>-5,74%</t>
        </is>
      </c>
      <c r="CL154" s="228" t="inlineStr">
        <is>
          <t>7</t>
        </is>
      </c>
      <c r="CM154" s="229" t="inlineStr">
        <is>
          <t>0,84%</t>
        </is>
      </c>
      <c r="CN154" s="230" t="inlineStr">
        <is>
          <t>94</t>
        </is>
      </c>
      <c r="CO154" s="231" t="inlineStr">
        <is>
          <t>-11,61%</t>
        </is>
      </c>
      <c r="CP154" s="232" t="inlineStr">
        <is>
          <t>11</t>
        </is>
      </c>
      <c r="CQ154" s="233" t="inlineStr">
        <is>
          <t>0,14%</t>
        </is>
      </c>
      <c r="CR154" s="234" t="inlineStr">
        <is>
          <t>90</t>
        </is>
      </c>
      <c r="CS154" s="235" t="inlineStr">
        <is>
          <t>1,09%</t>
        </is>
      </c>
      <c r="CT154" s="236" t="inlineStr">
        <is>
          <t>95</t>
        </is>
      </c>
      <c r="CU154" s="237" t="inlineStr">
        <is>
          <t>0,58%</t>
        </is>
      </c>
      <c r="CV154" s="238" t="inlineStr">
        <is>
          <t>93</t>
        </is>
      </c>
      <c r="CW154" s="239" t="inlineStr">
        <is>
          <t>1,86x</t>
        </is>
      </c>
      <c r="CX154" s="240" t="inlineStr">
        <is>
          <t>63</t>
        </is>
      </c>
      <c r="CY154" s="241" t="inlineStr">
        <is>
          <t>-0,03x</t>
        </is>
      </c>
      <c r="CZ154" s="242" t="inlineStr">
        <is>
          <t>-1,44%</t>
        </is>
      </c>
      <c r="DA154" s="243" t="inlineStr">
        <is>
          <t>4,47x</t>
        </is>
      </c>
      <c r="DB154" s="244" t="inlineStr">
        <is>
          <t>80</t>
        </is>
      </c>
      <c r="DC154" s="245" t="inlineStr">
        <is>
          <t>0,91x</t>
        </is>
      </c>
      <c r="DD154" s="246" t="inlineStr">
        <is>
          <t>47</t>
        </is>
      </c>
      <c r="DE154" s="247" t="inlineStr">
        <is>
          <t>1,11x</t>
        </is>
      </c>
      <c r="DF154" s="248" t="inlineStr">
        <is>
          <t>53</t>
        </is>
      </c>
      <c r="DG154" s="249" t="inlineStr">
        <is>
          <t>7,83x</t>
        </is>
      </c>
      <c r="DH154" s="250" t="inlineStr">
        <is>
          <t>84</t>
        </is>
      </c>
      <c r="DI154" s="251" t="inlineStr">
        <is>
          <t>0,34x</t>
        </is>
      </c>
      <c r="DJ154" s="252" t="inlineStr">
        <is>
          <t>32</t>
        </is>
      </c>
      <c r="DK154" s="253" t="inlineStr">
        <is>
          <t>1,48x</t>
        </is>
      </c>
      <c r="DL154" s="254" t="inlineStr">
        <is>
          <t>58</t>
        </is>
      </c>
      <c r="DM154" s="255" t="inlineStr">
        <is>
          <t>429</t>
        </is>
      </c>
      <c r="DN154" s="256" t="inlineStr">
        <is>
          <t>-83</t>
        </is>
      </c>
      <c r="DO154" s="257" t="inlineStr">
        <is>
          <t>-16,21%</t>
        </is>
      </c>
      <c r="DP154" s="258" t="inlineStr">
        <is>
          <t>267</t>
        </is>
      </c>
      <c r="DQ154" s="259" t="inlineStr">
        <is>
          <t>11</t>
        </is>
      </c>
      <c r="DR154" s="260" t="inlineStr">
        <is>
          <t>4,30%</t>
        </is>
      </c>
      <c r="DS154" s="261" t="inlineStr">
        <is>
          <t>284</t>
        </is>
      </c>
      <c r="DT154" s="262" t="inlineStr">
        <is>
          <t>-4</t>
        </is>
      </c>
      <c r="DU154" s="263" t="inlineStr">
        <is>
          <t>-1,39%</t>
        </is>
      </c>
      <c r="DV154" s="264" t="inlineStr">
        <is>
          <t>551</t>
        </is>
      </c>
      <c r="DW154" s="265" t="inlineStr">
        <is>
          <t>4</t>
        </is>
      </c>
      <c r="DX154" s="266" t="inlineStr">
        <is>
          <t>0,73%</t>
        </is>
      </c>
      <c r="DY154" s="267" t="inlineStr">
        <is>
          <t>PitchBook Research</t>
        </is>
      </c>
      <c r="DZ154" s="786">
        <f>HYPERLINK("https://my.pitchbook.com?c=155315-53", "View company online")</f>
      </c>
    </row>
    <row r="155">
      <c r="A155" s="9" t="inlineStr">
        <is>
          <t>64454-50</t>
        </is>
      </c>
      <c r="B155" s="10" t="inlineStr">
        <is>
          <t>Worldsensing</t>
        </is>
      </c>
      <c r="C155" s="11" t="inlineStr">
        <is>
          <t/>
        </is>
      </c>
      <c r="D155" s="12" t="inlineStr">
        <is>
          <t/>
        </is>
      </c>
      <c r="E155" s="13" t="inlineStr">
        <is>
          <t>64454-50</t>
        </is>
      </c>
      <c r="F155" s="14" t="inlineStr">
        <is>
          <t>Developer of applications based wireless sensor networks designed to provide operational intelligence into city operations. The company's applications based wireless sensor networks connect all systems, people and infrastructures in a city, enabling clients to obtain real-time actionable insights into city operations to improve decision making.</t>
        </is>
      </c>
      <c r="G155" s="15" t="inlineStr">
        <is>
          <t>Information Technology</t>
        </is>
      </c>
      <c r="H155" s="16" t="inlineStr">
        <is>
          <t>Software</t>
        </is>
      </c>
      <c r="I155" s="17" t="inlineStr">
        <is>
          <t>Network Management Software</t>
        </is>
      </c>
      <c r="J155" s="18" t="inlineStr">
        <is>
          <t>Network Management Software*; Other Software; Other Information Technology</t>
        </is>
      </c>
      <c r="K155" s="19" t="inlineStr">
        <is>
          <t>Internet of Things</t>
        </is>
      </c>
      <c r="L155" s="20" t="inlineStr">
        <is>
          <t>Venture Capital-Backed</t>
        </is>
      </c>
      <c r="M155" s="21" t="n">
        <v>8.79</v>
      </c>
      <c r="N155" s="22" t="inlineStr">
        <is>
          <t>Generating Revenue</t>
        </is>
      </c>
      <c r="O155" s="23" t="inlineStr">
        <is>
          <t>Privately Held (backing)</t>
        </is>
      </c>
      <c r="P155" s="24" t="inlineStr">
        <is>
          <t>Venture Capital</t>
        </is>
      </c>
      <c r="Q155" s="25" t="inlineStr">
        <is>
          <t>www.worldsensing.com</t>
        </is>
      </c>
      <c r="R155" s="26" t="n">
        <v>70.0</v>
      </c>
      <c r="S155" s="27" t="inlineStr">
        <is>
          <t/>
        </is>
      </c>
      <c r="T155" s="28" t="inlineStr">
        <is>
          <t/>
        </is>
      </c>
      <c r="U155" s="29" t="n">
        <v>2008.0</v>
      </c>
      <c r="V155" s="30" t="inlineStr">
        <is>
          <t/>
        </is>
      </c>
      <c r="W155" s="31" t="inlineStr">
        <is>
          <t/>
        </is>
      </c>
      <c r="X155" s="32" t="inlineStr">
        <is>
          <t/>
        </is>
      </c>
      <c r="Y155" s="33" t="n">
        <v>8.74263</v>
      </c>
      <c r="Z155" s="34" t="inlineStr">
        <is>
          <t/>
        </is>
      </c>
      <c r="AA155" s="35" t="inlineStr">
        <is>
          <t/>
        </is>
      </c>
      <c r="AB155" s="36" t="inlineStr">
        <is>
          <t/>
        </is>
      </c>
      <c r="AC155" s="37" t="inlineStr">
        <is>
          <t/>
        </is>
      </c>
      <c r="AD155" s="38" t="inlineStr">
        <is>
          <t>FY 2017</t>
        </is>
      </c>
      <c r="AE155" s="39" t="inlineStr">
        <is>
          <t>71267-23P</t>
        </is>
      </c>
      <c r="AF155" s="40" t="inlineStr">
        <is>
          <t>Ignasi Vilajosana</t>
        </is>
      </c>
      <c r="AG155" s="41" t="inlineStr">
        <is>
          <t>Co-Founder &amp; Chief Executive Officer</t>
        </is>
      </c>
      <c r="AH155" s="42" t="inlineStr">
        <is>
          <t>ivilajosana@worldsensing.com</t>
        </is>
      </c>
      <c r="AI155" s="43" t="inlineStr">
        <is>
          <t>+34 93 418 0585</t>
        </is>
      </c>
      <c r="AJ155" s="44" t="inlineStr">
        <is>
          <t>Barcelona, Spain</t>
        </is>
      </c>
      <c r="AK155" s="45" t="inlineStr">
        <is>
          <t>C/Aragó 383</t>
        </is>
      </c>
      <c r="AL155" s="46" t="inlineStr">
        <is>
          <t>4° planta</t>
        </is>
      </c>
      <c r="AM155" s="47" t="inlineStr">
        <is>
          <t>Barcelona</t>
        </is>
      </c>
      <c r="AN155" s="48" t="inlineStr">
        <is>
          <t/>
        </is>
      </c>
      <c r="AO155" s="49" t="inlineStr">
        <is>
          <t>08013</t>
        </is>
      </c>
      <c r="AP155" s="50" t="inlineStr">
        <is>
          <t>Spain</t>
        </is>
      </c>
      <c r="AQ155" s="51" t="inlineStr">
        <is>
          <t>+34 93 418 0585</t>
        </is>
      </c>
      <c r="AR155" s="52" t="inlineStr">
        <is>
          <t/>
        </is>
      </c>
      <c r="AS155" s="53" t="inlineStr">
        <is>
          <t>info@worldsensing.com</t>
        </is>
      </c>
      <c r="AT155" s="54" t="inlineStr">
        <is>
          <t>Europe</t>
        </is>
      </c>
      <c r="AU155" s="55" t="inlineStr">
        <is>
          <t>Southern Europe</t>
        </is>
      </c>
      <c r="AV155" s="56" t="inlineStr">
        <is>
          <t>The company raised EUR 8.3 million of Series B venture funding in a deal led by McRock Capital and ETF Partners on July 11, 2017. Cisco Investments also participated in the round.</t>
        </is>
      </c>
      <c r="AW155" s="57" t="inlineStr">
        <is>
          <t>ACC1O, Agència de Gestió d'Ajuts Universitaris i de Recerca, Cisco Investments, Endeavor Global, ETF Partners, European Commission, European Union Agency for Network and Information Security, European Union Seventh Framework Programme, Finaves, Fundacion Jose Manuel Entrecanales, Horizon 2020, Inncorpora, JME Venture Capital, Kibo Ventures Partners, McRock Capital, Mitsui Sumitomo Insurance Venture Capital, Wayra</t>
        </is>
      </c>
      <c r="AX155" s="58" t="n">
        <v>17.0</v>
      </c>
      <c r="AY155" s="59" t="inlineStr">
        <is>
          <t/>
        </is>
      </c>
      <c r="AZ155" s="60" t="inlineStr">
        <is>
          <t/>
        </is>
      </c>
      <c r="BA155" s="61" t="inlineStr">
        <is>
          <t/>
        </is>
      </c>
      <c r="BB155" s="62" t="inlineStr">
        <is>
          <t>ACC1O (www.acc10.cat), Agència de Gestió d'Ajuts Universitaris i de Recerca (agaur.gencat.cat), Cisco Investments (www.ciscoinvestments.com), Endeavor Global (www.endeavor.org), ETF Partners (www.etfpartners.capital), European Commission (ec.europa.eu), European Union Agency for Network and Information Security (www.enisa.europa.eu), Finaves (www.iese.edu), Fundacion Jose Manuel Entrecanales (www.fjme.org), JME Venture Capital (www.jme.vc), Kibo Ventures Partners (www.kiboventures.com), McRock Capital (www.mcrockcapital.com), Wayra (wayra.co)</t>
        </is>
      </c>
      <c r="BC155" s="63" t="inlineStr">
        <is>
          <t/>
        </is>
      </c>
      <c r="BD155" s="64" t="inlineStr">
        <is>
          <t/>
        </is>
      </c>
      <c r="BE155" s="65" t="inlineStr">
        <is>
          <t/>
        </is>
      </c>
      <c r="BF155" s="66" t="inlineStr">
        <is>
          <t>Rousaud Costas Duran (Legal Advisor)</t>
        </is>
      </c>
      <c r="BG155" s="67" t="inlineStr">
        <is>
          <t/>
        </is>
      </c>
      <c r="BH155" s="68" t="inlineStr">
        <is>
          <t/>
        </is>
      </c>
      <c r="BI155" s="69" t="inlineStr">
        <is>
          <t/>
        </is>
      </c>
      <c r="BJ155" s="70" t="inlineStr">
        <is>
          <t/>
        </is>
      </c>
      <c r="BK155" s="71" t="inlineStr">
        <is>
          <t/>
        </is>
      </c>
      <c r="BL155" s="72" t="inlineStr">
        <is>
          <t>Grant</t>
        </is>
      </c>
      <c r="BM155" s="73" t="inlineStr">
        <is>
          <t/>
        </is>
      </c>
      <c r="BN155" s="74" t="inlineStr">
        <is>
          <t/>
        </is>
      </c>
      <c r="BO155" s="75" t="inlineStr">
        <is>
          <t>Other</t>
        </is>
      </c>
      <c r="BP155" s="76" t="inlineStr">
        <is>
          <t/>
        </is>
      </c>
      <c r="BQ155" s="77" t="inlineStr">
        <is>
          <t/>
        </is>
      </c>
      <c r="BR155" s="78" t="inlineStr">
        <is>
          <t/>
        </is>
      </c>
      <c r="BS155" s="79" t="inlineStr">
        <is>
          <t>Completed</t>
        </is>
      </c>
      <c r="BT155" s="80" t="n">
        <v>42927.0</v>
      </c>
      <c r="BU155" s="81" t="n">
        <v>8.3</v>
      </c>
      <c r="BV155" s="82" t="inlineStr">
        <is>
          <t>Actual</t>
        </is>
      </c>
      <c r="BW155" s="83" t="inlineStr">
        <is>
          <t/>
        </is>
      </c>
      <c r="BX155" s="84" t="inlineStr">
        <is>
          <t/>
        </is>
      </c>
      <c r="BY155" s="85" t="inlineStr">
        <is>
          <t>Later Stage VC</t>
        </is>
      </c>
      <c r="BZ155" s="86" t="inlineStr">
        <is>
          <t>Series B</t>
        </is>
      </c>
      <c r="CA155" s="87" t="inlineStr">
        <is>
          <t/>
        </is>
      </c>
      <c r="CB155" s="88" t="inlineStr">
        <is>
          <t>Venture Capital</t>
        </is>
      </c>
      <c r="CC155" s="89" t="inlineStr">
        <is>
          <t/>
        </is>
      </c>
      <c r="CD155" s="90" t="inlineStr">
        <is>
          <t/>
        </is>
      </c>
      <c r="CE155" s="91" t="inlineStr">
        <is>
          <t/>
        </is>
      </c>
      <c r="CF155" s="92" t="inlineStr">
        <is>
          <t>Completed</t>
        </is>
      </c>
      <c r="CG155" s="93" t="inlineStr">
        <is>
          <t>-1,10%</t>
        </is>
      </c>
      <c r="CH155" s="94" t="inlineStr">
        <is>
          <t>14</t>
        </is>
      </c>
      <c r="CI155" s="95" t="inlineStr">
        <is>
          <t>-0,01%</t>
        </is>
      </c>
      <c r="CJ155" s="96" t="inlineStr">
        <is>
          <t>-0,47%</t>
        </is>
      </c>
      <c r="CK155" s="97" t="inlineStr">
        <is>
          <t>-4,01%</t>
        </is>
      </c>
      <c r="CL155" s="98" t="inlineStr">
        <is>
          <t>9</t>
        </is>
      </c>
      <c r="CM155" s="99" t="inlineStr">
        <is>
          <t>-0,02%</t>
        </is>
      </c>
      <c r="CN155" s="100" t="inlineStr">
        <is>
          <t>15</t>
        </is>
      </c>
      <c r="CO155" s="101" t="inlineStr">
        <is>
          <t>-7,74%</t>
        </is>
      </c>
      <c r="CP155" s="102" t="inlineStr">
        <is>
          <t>16</t>
        </is>
      </c>
      <c r="CQ155" s="103" t="inlineStr">
        <is>
          <t>-0,28%</t>
        </is>
      </c>
      <c r="CR155" s="104" t="inlineStr">
        <is>
          <t>18</t>
        </is>
      </c>
      <c r="CS155" s="105" t="inlineStr">
        <is>
          <t>0,00%</t>
        </is>
      </c>
      <c r="CT155" s="106" t="inlineStr">
        <is>
          <t>18</t>
        </is>
      </c>
      <c r="CU155" s="107" t="inlineStr">
        <is>
          <t>-0,03%</t>
        </is>
      </c>
      <c r="CV155" s="108" t="inlineStr">
        <is>
          <t>17</t>
        </is>
      </c>
      <c r="CW155" s="109" t="inlineStr">
        <is>
          <t>7,31x</t>
        </is>
      </c>
      <c r="CX155" s="110" t="inlineStr">
        <is>
          <t>84</t>
        </is>
      </c>
      <c r="CY155" s="111" t="inlineStr">
        <is>
          <t>-0,08x</t>
        </is>
      </c>
      <c r="CZ155" s="112" t="inlineStr">
        <is>
          <t>-1,10%</t>
        </is>
      </c>
      <c r="DA155" s="113" t="inlineStr">
        <is>
          <t>5,93x</t>
        </is>
      </c>
      <c r="DB155" s="114" t="inlineStr">
        <is>
          <t>83</t>
        </is>
      </c>
      <c r="DC155" s="115" t="inlineStr">
        <is>
          <t>15,75x</t>
        </is>
      </c>
      <c r="DD155" s="116" t="inlineStr">
        <is>
          <t>88</t>
        </is>
      </c>
      <c r="DE155" s="117" t="inlineStr">
        <is>
          <t>4,50x</t>
        </is>
      </c>
      <c r="DF155" s="118" t="inlineStr">
        <is>
          <t>79</t>
        </is>
      </c>
      <c r="DG155" s="119" t="inlineStr">
        <is>
          <t>7,36x</t>
        </is>
      </c>
      <c r="DH155" s="120" t="inlineStr">
        <is>
          <t>83</t>
        </is>
      </c>
      <c r="DI155" s="121" t="inlineStr">
        <is>
          <t>0,10x</t>
        </is>
      </c>
      <c r="DJ155" s="122" t="inlineStr">
        <is>
          <t>14</t>
        </is>
      </c>
      <c r="DK155" s="123" t="inlineStr">
        <is>
          <t>31,40x</t>
        </is>
      </c>
      <c r="DL155" s="124" t="inlineStr">
        <is>
          <t>95</t>
        </is>
      </c>
      <c r="DM155" s="125" t="inlineStr">
        <is>
          <t>1.788</t>
        </is>
      </c>
      <c r="DN155" s="126" t="inlineStr">
        <is>
          <t>-352</t>
        </is>
      </c>
      <c r="DO155" s="127" t="inlineStr">
        <is>
          <t>-16,45%</t>
        </is>
      </c>
      <c r="DP155" s="128" t="inlineStr">
        <is>
          <t>78</t>
        </is>
      </c>
      <c r="DQ155" s="129" t="inlineStr">
        <is>
          <t>0</t>
        </is>
      </c>
      <c r="DR155" s="130" t="inlineStr">
        <is>
          <t>0,00%</t>
        </is>
      </c>
      <c r="DS155" s="131" t="inlineStr">
        <is>
          <t>265</t>
        </is>
      </c>
      <c r="DT155" s="132" t="inlineStr">
        <is>
          <t>-1</t>
        </is>
      </c>
      <c r="DU155" s="133" t="inlineStr">
        <is>
          <t>-0,38%</t>
        </is>
      </c>
      <c r="DV155" s="134" t="inlineStr">
        <is>
          <t>11.757</t>
        </is>
      </c>
      <c r="DW155" s="135" t="inlineStr">
        <is>
          <t>-28</t>
        </is>
      </c>
      <c r="DX155" s="136" t="inlineStr">
        <is>
          <t>-0,24%</t>
        </is>
      </c>
      <c r="DY155" s="137" t="inlineStr">
        <is>
          <t>PitchBook Research</t>
        </is>
      </c>
      <c r="DZ155" s="785">
        <f>HYPERLINK("https://my.pitchbook.com?c=64454-50", "View company online")</f>
      </c>
    </row>
    <row r="156">
      <c r="A156" s="139" t="inlineStr">
        <is>
          <t>85867-93</t>
        </is>
      </c>
      <c r="B156" s="140" t="inlineStr">
        <is>
          <t>LeanIX</t>
        </is>
      </c>
      <c r="C156" s="141" t="inlineStr">
        <is>
          <t/>
        </is>
      </c>
      <c r="D156" s="142" t="inlineStr">
        <is>
          <t/>
        </is>
      </c>
      <c r="E156" s="143" t="inlineStr">
        <is>
          <t>85867-93</t>
        </is>
      </c>
      <c r="F156" s="144" t="inlineStr">
        <is>
          <t>Provider of an enterprise architecture management software designed to reduce IT complexity in the IT landscape. The company's enterprise architecture management software offers a web based platform to manage diverse application portfolios in public cloud and data center, enabling business to grow through adopting state-of-the-art technology.</t>
        </is>
      </c>
      <c r="G156" s="145" t="inlineStr">
        <is>
          <t>Information Technology</t>
        </is>
      </c>
      <c r="H156" s="146" t="inlineStr">
        <is>
          <t>Software</t>
        </is>
      </c>
      <c r="I156" s="147" t="inlineStr">
        <is>
          <t>Application Software</t>
        </is>
      </c>
      <c r="J156" s="148" t="inlineStr">
        <is>
          <t>Application Software*; Database Software; Internet Software</t>
        </is>
      </c>
      <c r="K156" s="149" t="inlineStr">
        <is>
          <t>SaaS</t>
        </is>
      </c>
      <c r="L156" s="150" t="inlineStr">
        <is>
          <t>Venture Capital-Backed</t>
        </is>
      </c>
      <c r="M156" s="151" t="n">
        <v>8.71</v>
      </c>
      <c r="N156" s="152" t="inlineStr">
        <is>
          <t>Generating Revenue</t>
        </is>
      </c>
      <c r="O156" s="153" t="inlineStr">
        <is>
          <t>Privately Held (backing)</t>
        </is>
      </c>
      <c r="P156" s="154" t="inlineStr">
        <is>
          <t>Venture Capital</t>
        </is>
      </c>
      <c r="Q156" s="155" t="inlineStr">
        <is>
          <t>www.leanix.net</t>
        </is>
      </c>
      <c r="R156" s="156" t="n">
        <v>3.0</v>
      </c>
      <c r="S156" s="157" t="inlineStr">
        <is>
          <t/>
        </is>
      </c>
      <c r="T156" s="158" t="inlineStr">
        <is>
          <t/>
        </is>
      </c>
      <c r="U156" s="159" t="n">
        <v>2012.0</v>
      </c>
      <c r="V156" s="160" t="inlineStr">
        <is>
          <t/>
        </is>
      </c>
      <c r="W156" s="161" t="inlineStr">
        <is>
          <t/>
        </is>
      </c>
      <c r="X156" s="162" t="inlineStr">
        <is>
          <t/>
        </is>
      </c>
      <c r="Y156" s="163" t="inlineStr">
        <is>
          <t/>
        </is>
      </c>
      <c r="Z156" s="164" t="inlineStr">
        <is>
          <t/>
        </is>
      </c>
      <c r="AA156" s="165" t="inlineStr">
        <is>
          <t/>
        </is>
      </c>
      <c r="AB156" s="166" t="inlineStr">
        <is>
          <t/>
        </is>
      </c>
      <c r="AC156" s="167" t="inlineStr">
        <is>
          <t/>
        </is>
      </c>
      <c r="AD156" s="168" t="inlineStr">
        <is>
          <t/>
        </is>
      </c>
      <c r="AE156" s="169" t="inlineStr">
        <is>
          <t>94885-93P</t>
        </is>
      </c>
      <c r="AF156" s="170" t="inlineStr">
        <is>
          <t>Jorg Beyer</t>
        </is>
      </c>
      <c r="AG156" s="171" t="inlineStr">
        <is>
          <t>Co-Chief Executive Officer &amp; Co-Founder</t>
        </is>
      </c>
      <c r="AH156" s="172" t="inlineStr">
        <is>
          <t>jorg@leanix.net</t>
        </is>
      </c>
      <c r="AI156" s="173" t="inlineStr">
        <is>
          <t>+49 (0)22 8286 2992 0</t>
        </is>
      </c>
      <c r="AJ156" s="174" t="inlineStr">
        <is>
          <t>Bonn, Germany</t>
        </is>
      </c>
      <c r="AK156" s="175" t="inlineStr">
        <is>
          <t>Fuerstenstr. 4</t>
        </is>
      </c>
      <c r="AL156" s="176" t="inlineStr">
        <is>
          <t/>
        </is>
      </c>
      <c r="AM156" s="177" t="inlineStr">
        <is>
          <t>Bonn</t>
        </is>
      </c>
      <c r="AN156" s="178" t="inlineStr">
        <is>
          <t/>
        </is>
      </c>
      <c r="AO156" s="179" t="inlineStr">
        <is>
          <t>53111</t>
        </is>
      </c>
      <c r="AP156" s="180" t="inlineStr">
        <is>
          <t>Germany</t>
        </is>
      </c>
      <c r="AQ156" s="181" t="inlineStr">
        <is>
          <t>+49 (0)22 8286 2992 0</t>
        </is>
      </c>
      <c r="AR156" s="182" t="inlineStr">
        <is>
          <t/>
        </is>
      </c>
      <c r="AS156" s="183" t="inlineStr">
        <is>
          <t>info@leanix.net</t>
        </is>
      </c>
      <c r="AT156" s="184" t="inlineStr">
        <is>
          <t>Europe</t>
        </is>
      </c>
      <c r="AU156" s="185" t="inlineStr">
        <is>
          <t>Western Europe</t>
        </is>
      </c>
      <c r="AV156" s="186" t="inlineStr">
        <is>
          <t>The company raised $7.5 million of Series B venture funding in a deal led by Deutsche Telekom Capital Partners on July 18, 2017. Capnamic Ventures and Iris Capital Management also participated in the round. The funding will be used in development of the American market and the further product development.</t>
        </is>
      </c>
      <c r="AW156" s="187" t="inlineStr">
        <is>
          <t>Capnamic Ventures, Deutsche Telekom Capital Partners, Iris Capital Management</t>
        </is>
      </c>
      <c r="AX156" s="188" t="n">
        <v>3.0</v>
      </c>
      <c r="AY156" s="189" t="inlineStr">
        <is>
          <t/>
        </is>
      </c>
      <c r="AZ156" s="190" t="inlineStr">
        <is>
          <t/>
        </is>
      </c>
      <c r="BA156" s="191" t="inlineStr">
        <is>
          <t/>
        </is>
      </c>
      <c r="BB156" s="192" t="inlineStr">
        <is>
          <t>Capnamic Ventures (www.capnamic.com), Deutsche Telekom Capital Partners (www.telekom-capital.com), Iris Capital Management (www.iriscapital.com)</t>
        </is>
      </c>
      <c r="BC156" s="193" t="inlineStr">
        <is>
          <t/>
        </is>
      </c>
      <c r="BD156" s="194" t="inlineStr">
        <is>
          <t/>
        </is>
      </c>
      <c r="BE156" s="195" t="inlineStr">
        <is>
          <t/>
        </is>
      </c>
      <c r="BF156" s="196" t="inlineStr">
        <is>
          <t/>
        </is>
      </c>
      <c r="BG156" s="197" t="n">
        <v>42069.0</v>
      </c>
      <c r="BH156" s="198" t="n">
        <v>2.2</v>
      </c>
      <c r="BI156" s="199" t="inlineStr">
        <is>
          <t>Actual</t>
        </is>
      </c>
      <c r="BJ156" s="200" t="inlineStr">
        <is>
          <t/>
        </is>
      </c>
      <c r="BK156" s="201" t="inlineStr">
        <is>
          <t/>
        </is>
      </c>
      <c r="BL156" s="202" t="inlineStr">
        <is>
          <t>Early Stage VC</t>
        </is>
      </c>
      <c r="BM156" s="203" t="inlineStr">
        <is>
          <t>Series A</t>
        </is>
      </c>
      <c r="BN156" s="204" t="inlineStr">
        <is>
          <t/>
        </is>
      </c>
      <c r="BO156" s="205" t="inlineStr">
        <is>
          <t>Venture Capital</t>
        </is>
      </c>
      <c r="BP156" s="206" t="inlineStr">
        <is>
          <t/>
        </is>
      </c>
      <c r="BQ156" s="207" t="inlineStr">
        <is>
          <t/>
        </is>
      </c>
      <c r="BR156" s="208" t="inlineStr">
        <is>
          <t/>
        </is>
      </c>
      <c r="BS156" s="209" t="inlineStr">
        <is>
          <t>Completed</t>
        </is>
      </c>
      <c r="BT156" s="210" t="n">
        <v>42934.0</v>
      </c>
      <c r="BU156" s="211" t="n">
        <v>6.51</v>
      </c>
      <c r="BV156" s="212" t="inlineStr">
        <is>
          <t>Actual</t>
        </is>
      </c>
      <c r="BW156" s="213" t="inlineStr">
        <is>
          <t/>
        </is>
      </c>
      <c r="BX156" s="214" t="inlineStr">
        <is>
          <t/>
        </is>
      </c>
      <c r="BY156" s="215" t="inlineStr">
        <is>
          <t>Later Stage VC</t>
        </is>
      </c>
      <c r="BZ156" s="216" t="inlineStr">
        <is>
          <t/>
        </is>
      </c>
      <c r="CA156" s="217" t="inlineStr">
        <is>
          <t/>
        </is>
      </c>
      <c r="CB156" s="218" t="inlineStr">
        <is>
          <t>Venture Capital</t>
        </is>
      </c>
      <c r="CC156" s="219" t="inlineStr">
        <is>
          <t/>
        </is>
      </c>
      <c r="CD156" s="220" t="inlineStr">
        <is>
          <t/>
        </is>
      </c>
      <c r="CE156" s="221" t="inlineStr">
        <is>
          <t/>
        </is>
      </c>
      <c r="CF156" s="222" t="inlineStr">
        <is>
          <t>Completed</t>
        </is>
      </c>
      <c r="CG156" s="223" t="inlineStr">
        <is>
          <t>-1,66%</t>
        </is>
      </c>
      <c r="CH156" s="224" t="inlineStr">
        <is>
          <t>11</t>
        </is>
      </c>
      <c r="CI156" s="225" t="inlineStr">
        <is>
          <t>0,02%</t>
        </is>
      </c>
      <c r="CJ156" s="226" t="inlineStr">
        <is>
          <t>1,14%</t>
        </is>
      </c>
      <c r="CK156" s="227" t="inlineStr">
        <is>
          <t>-3,84%</t>
        </is>
      </c>
      <c r="CL156" s="228" t="inlineStr">
        <is>
          <t>10</t>
        </is>
      </c>
      <c r="CM156" s="229" t="inlineStr">
        <is>
          <t>0,52%</t>
        </is>
      </c>
      <c r="CN156" s="230" t="inlineStr">
        <is>
          <t>89</t>
        </is>
      </c>
      <c r="CO156" s="231" t="inlineStr">
        <is>
          <t>-8,04%</t>
        </is>
      </c>
      <c r="CP156" s="232" t="inlineStr">
        <is>
          <t>15</t>
        </is>
      </c>
      <c r="CQ156" s="233" t="inlineStr">
        <is>
          <t>0,36%</t>
        </is>
      </c>
      <c r="CR156" s="234" t="inlineStr">
        <is>
          <t>91</t>
        </is>
      </c>
      <c r="CS156" s="235" t="inlineStr">
        <is>
          <t>0,91%</t>
        </is>
      </c>
      <c r="CT156" s="236" t="inlineStr">
        <is>
          <t>94</t>
        </is>
      </c>
      <c r="CU156" s="237" t="inlineStr">
        <is>
          <t>0,14%</t>
        </is>
      </c>
      <c r="CV156" s="238" t="inlineStr">
        <is>
          <t>71</t>
        </is>
      </c>
      <c r="CW156" s="239" t="inlineStr">
        <is>
          <t>3,42x</t>
        </is>
      </c>
      <c r="CX156" s="240" t="inlineStr">
        <is>
          <t>74</t>
        </is>
      </c>
      <c r="CY156" s="241" t="inlineStr">
        <is>
          <t>0,00x</t>
        </is>
      </c>
      <c r="CZ156" s="242" t="inlineStr">
        <is>
          <t>-0,08%</t>
        </is>
      </c>
      <c r="DA156" s="243" t="inlineStr">
        <is>
          <t>4,58x</t>
        </is>
      </c>
      <c r="DB156" s="244" t="inlineStr">
        <is>
          <t>80</t>
        </is>
      </c>
      <c r="DC156" s="245" t="inlineStr">
        <is>
          <t>2,27x</t>
        </is>
      </c>
      <c r="DD156" s="246" t="inlineStr">
        <is>
          <t>64</t>
        </is>
      </c>
      <c r="DE156" s="247" t="inlineStr">
        <is>
          <t>3,32x</t>
        </is>
      </c>
      <c r="DF156" s="248" t="inlineStr">
        <is>
          <t>75</t>
        </is>
      </c>
      <c r="DG156" s="249" t="inlineStr">
        <is>
          <t>5,83x</t>
        </is>
      </c>
      <c r="DH156" s="250" t="inlineStr">
        <is>
          <t>81</t>
        </is>
      </c>
      <c r="DI156" s="251" t="inlineStr">
        <is>
          <t>0,20x</t>
        </is>
      </c>
      <c r="DJ156" s="252" t="inlineStr">
        <is>
          <t>23</t>
        </is>
      </c>
      <c r="DK156" s="253" t="inlineStr">
        <is>
          <t>4,34x</t>
        </is>
      </c>
      <c r="DL156" s="254" t="inlineStr">
        <is>
          <t>77</t>
        </is>
      </c>
      <c r="DM156" s="255" t="inlineStr">
        <is>
          <t>1.214</t>
        </is>
      </c>
      <c r="DN156" s="256" t="inlineStr">
        <is>
          <t>86</t>
        </is>
      </c>
      <c r="DO156" s="257" t="inlineStr">
        <is>
          <t>7,62%</t>
        </is>
      </c>
      <c r="DP156" s="258" t="inlineStr">
        <is>
          <t>158</t>
        </is>
      </c>
      <c r="DQ156" s="259" t="inlineStr">
        <is>
          <t>0</t>
        </is>
      </c>
      <c r="DR156" s="260" t="inlineStr">
        <is>
          <t>0,00%</t>
        </is>
      </c>
      <c r="DS156" s="261" t="inlineStr">
        <is>
          <t>209</t>
        </is>
      </c>
      <c r="DT156" s="262" t="inlineStr">
        <is>
          <t>0</t>
        </is>
      </c>
      <c r="DU156" s="263" t="inlineStr">
        <is>
          <t>0,00%</t>
        </is>
      </c>
      <c r="DV156" s="264" t="inlineStr">
        <is>
          <t>1.627</t>
        </is>
      </c>
      <c r="DW156" s="265" t="inlineStr">
        <is>
          <t>6</t>
        </is>
      </c>
      <c r="DX156" s="266" t="inlineStr">
        <is>
          <t>0,37%</t>
        </is>
      </c>
      <c r="DY156" s="267" t="inlineStr">
        <is>
          <t>PitchBook Research</t>
        </is>
      </c>
      <c r="DZ156" s="786">
        <f>HYPERLINK("https://my.pitchbook.com?c=85867-93", "View company online")</f>
      </c>
    </row>
    <row r="157">
      <c r="A157" s="9" t="inlineStr">
        <is>
          <t>113185-99</t>
        </is>
      </c>
      <c r="B157" s="10" t="inlineStr">
        <is>
          <t>Fotor</t>
        </is>
      </c>
      <c r="C157" s="11" t="inlineStr">
        <is>
          <t/>
        </is>
      </c>
      <c r="D157" s="12" t="inlineStr">
        <is>
          <t/>
        </is>
      </c>
      <c r="E157" s="13" t="inlineStr">
        <is>
          <t>113185-99</t>
        </is>
      </c>
      <c r="F157" s="14" t="inlineStr">
        <is>
          <t>Provider of an online photo editing application intended to provide photographers around the world with handy application regardless of their experience or level of skill. The company's online photo editing application offers to create new graphics quickly and inexpensively within an application interface that's sleek and minimal, enabling users to design graphics in a hassle free way.</t>
        </is>
      </c>
      <c r="G157" s="15" t="inlineStr">
        <is>
          <t>Information Technology</t>
        </is>
      </c>
      <c r="H157" s="16" t="inlineStr">
        <is>
          <t>Software</t>
        </is>
      </c>
      <c r="I157" s="17" t="inlineStr">
        <is>
          <t>Multimedia and Design Software</t>
        </is>
      </c>
      <c r="J157" s="18" t="inlineStr">
        <is>
          <t>Multimedia and Design Software*; Application Software</t>
        </is>
      </c>
      <c r="K157" s="19" t="inlineStr">
        <is>
          <t>Mobile</t>
        </is>
      </c>
      <c r="L157" s="20" t="inlineStr">
        <is>
          <t>Venture Capital-Backed</t>
        </is>
      </c>
      <c r="M157" s="21" t="n">
        <v>8.7</v>
      </c>
      <c r="N157" s="22" t="inlineStr">
        <is>
          <t>Generating Revenue</t>
        </is>
      </c>
      <c r="O157" s="23" t="inlineStr">
        <is>
          <t>Privately Held (backing)</t>
        </is>
      </c>
      <c r="P157" s="24" t="inlineStr">
        <is>
          <t>Venture Capital</t>
        </is>
      </c>
      <c r="Q157" s="25" t="inlineStr">
        <is>
          <t>www.fotor.com</t>
        </is>
      </c>
      <c r="R157" s="26" t="inlineStr">
        <is>
          <t/>
        </is>
      </c>
      <c r="S157" s="27" t="inlineStr">
        <is>
          <t/>
        </is>
      </c>
      <c r="T157" s="28" t="inlineStr">
        <is>
          <t/>
        </is>
      </c>
      <c r="U157" s="29" t="n">
        <v>2009.0</v>
      </c>
      <c r="V157" s="30" t="inlineStr">
        <is>
          <t/>
        </is>
      </c>
      <c r="W157" s="31" t="inlineStr">
        <is>
          <t/>
        </is>
      </c>
      <c r="X157" s="32" t="inlineStr">
        <is>
          <t/>
        </is>
      </c>
      <c r="Y157" s="33" t="inlineStr">
        <is>
          <t/>
        </is>
      </c>
      <c r="Z157" s="34" t="inlineStr">
        <is>
          <t/>
        </is>
      </c>
      <c r="AA157" s="35" t="inlineStr">
        <is>
          <t/>
        </is>
      </c>
      <c r="AB157" s="36" t="inlineStr">
        <is>
          <t/>
        </is>
      </c>
      <c r="AC157" s="37" t="inlineStr">
        <is>
          <t/>
        </is>
      </c>
      <c r="AD157" s="38" t="inlineStr">
        <is>
          <t/>
        </is>
      </c>
      <c r="AE157" s="39" t="inlineStr">
        <is>
          <t>130353-76P</t>
        </is>
      </c>
      <c r="AF157" s="40" t="inlineStr">
        <is>
          <t>Tony Duan</t>
        </is>
      </c>
      <c r="AG157" s="41" t="inlineStr">
        <is>
          <t>Chief Executive Officer &amp; Founder</t>
        </is>
      </c>
      <c r="AH157" s="42" t="inlineStr">
        <is>
          <t>tony.duan@fotor.com</t>
        </is>
      </c>
      <c r="AI157" s="43" t="inlineStr">
        <is>
          <t/>
        </is>
      </c>
      <c r="AJ157" s="44" t="inlineStr">
        <is>
          <t>London, United Kingdom</t>
        </is>
      </c>
      <c r="AK157" s="45" t="inlineStr">
        <is>
          <t>2 Kingdom Street</t>
        </is>
      </c>
      <c r="AL157" s="46" t="inlineStr">
        <is>
          <t/>
        </is>
      </c>
      <c r="AM157" s="47" t="inlineStr">
        <is>
          <t>London</t>
        </is>
      </c>
      <c r="AN157" s="48" t="inlineStr">
        <is>
          <t>England</t>
        </is>
      </c>
      <c r="AO157" s="49" t="inlineStr">
        <is>
          <t>W2 6BD</t>
        </is>
      </c>
      <c r="AP157" s="50" t="inlineStr">
        <is>
          <t>United Kingdom</t>
        </is>
      </c>
      <c r="AQ157" s="51" t="inlineStr">
        <is>
          <t/>
        </is>
      </c>
      <c r="AR157" s="52" t="inlineStr">
        <is>
          <t/>
        </is>
      </c>
      <c r="AS157" s="53" t="inlineStr">
        <is>
          <t>info@fotor.com</t>
        </is>
      </c>
      <c r="AT157" s="54" t="inlineStr">
        <is>
          <t>Europe</t>
        </is>
      </c>
      <c r="AU157" s="55" t="inlineStr">
        <is>
          <t>Western Europe</t>
        </is>
      </c>
      <c r="AV157" s="56" t="inlineStr">
        <is>
          <t>The company raised $7.6 million of Series B venture funding in a deal led by GF securities on September 20, 2017. Other undisclosed investors also participated in the round. The fund will be used to provide an improved user experience for all Fotor platforms, to enhance the Fotor Team, and expand Fotor's global exposure and reach.</t>
        </is>
      </c>
      <c r="AW157" s="57" t="inlineStr">
        <is>
          <t>GF Securities, Legend Capital, Legend Star, Lenovo Capital and Incubator Group</t>
        </is>
      </c>
      <c r="AX157" s="58" t="n">
        <v>4.0</v>
      </c>
      <c r="AY157" s="59" t="inlineStr">
        <is>
          <t/>
        </is>
      </c>
      <c r="AZ157" s="60" t="inlineStr">
        <is>
          <t/>
        </is>
      </c>
      <c r="BA157" s="61" t="inlineStr">
        <is>
          <t/>
        </is>
      </c>
      <c r="BB157" s="62" t="inlineStr">
        <is>
          <t>GF Securities (www.gf.com.cn), Legend Capital (www.legendcapital.com.cn), Legend Star (www.lstar.vc), Lenovo Capital and Incubator Group (www.capital.lenovo.com)</t>
        </is>
      </c>
      <c r="BC157" s="63" t="inlineStr">
        <is>
          <t/>
        </is>
      </c>
      <c r="BD157" s="64" t="inlineStr">
        <is>
          <t/>
        </is>
      </c>
      <c r="BE157" s="65" t="inlineStr">
        <is>
          <t/>
        </is>
      </c>
      <c r="BF157" s="66" t="inlineStr">
        <is>
          <t/>
        </is>
      </c>
      <c r="BG157" s="67" t="n">
        <v>40909.0</v>
      </c>
      <c r="BH157" s="68" t="n">
        <v>2.33</v>
      </c>
      <c r="BI157" s="69" t="inlineStr">
        <is>
          <t>Actual</t>
        </is>
      </c>
      <c r="BJ157" s="70" t="inlineStr">
        <is>
          <t/>
        </is>
      </c>
      <c r="BK157" s="71" t="inlineStr">
        <is>
          <t/>
        </is>
      </c>
      <c r="BL157" s="72" t="inlineStr">
        <is>
          <t>Early Stage VC</t>
        </is>
      </c>
      <c r="BM157" s="73" t="inlineStr">
        <is>
          <t>Series A</t>
        </is>
      </c>
      <c r="BN157" s="74" t="inlineStr">
        <is>
          <t/>
        </is>
      </c>
      <c r="BO157" s="75" t="inlineStr">
        <is>
          <t>Venture Capital</t>
        </is>
      </c>
      <c r="BP157" s="76" t="inlineStr">
        <is>
          <t/>
        </is>
      </c>
      <c r="BQ157" s="77" t="inlineStr">
        <is>
          <t/>
        </is>
      </c>
      <c r="BR157" s="78" t="inlineStr">
        <is>
          <t/>
        </is>
      </c>
      <c r="BS157" s="79" t="inlineStr">
        <is>
          <t>Completed</t>
        </is>
      </c>
      <c r="BT157" s="80" t="n">
        <v>42998.0</v>
      </c>
      <c r="BU157" s="81" t="n">
        <v>6.38</v>
      </c>
      <c r="BV157" s="82" t="inlineStr">
        <is>
          <t>Actual</t>
        </is>
      </c>
      <c r="BW157" s="83" t="inlineStr">
        <is>
          <t/>
        </is>
      </c>
      <c r="BX157" s="84" t="inlineStr">
        <is>
          <t/>
        </is>
      </c>
      <c r="BY157" s="85" t="inlineStr">
        <is>
          <t>Later Stage VC</t>
        </is>
      </c>
      <c r="BZ157" s="86" t="inlineStr">
        <is>
          <t>Series B</t>
        </is>
      </c>
      <c r="CA157" s="87" t="inlineStr">
        <is>
          <t/>
        </is>
      </c>
      <c r="CB157" s="88" t="inlineStr">
        <is>
          <t>Venture Capital</t>
        </is>
      </c>
      <c r="CC157" s="89" t="inlineStr">
        <is>
          <t/>
        </is>
      </c>
      <c r="CD157" s="90" t="inlineStr">
        <is>
          <t/>
        </is>
      </c>
      <c r="CE157" s="91" t="inlineStr">
        <is>
          <t/>
        </is>
      </c>
      <c r="CF157" s="92" t="inlineStr">
        <is>
          <t>Completed</t>
        </is>
      </c>
      <c r="CG157" s="93" t="inlineStr">
        <is>
          <t>-4,24%</t>
        </is>
      </c>
      <c r="CH157" s="94" t="inlineStr">
        <is>
          <t>5</t>
        </is>
      </c>
      <c r="CI157" s="95" t="inlineStr">
        <is>
          <t>-0,02%</t>
        </is>
      </c>
      <c r="CJ157" s="96" t="inlineStr">
        <is>
          <t>-0,54%</t>
        </is>
      </c>
      <c r="CK157" s="97" t="inlineStr">
        <is>
          <t>-8,43%</t>
        </is>
      </c>
      <c r="CL157" s="98" t="inlineStr">
        <is>
          <t>4</t>
        </is>
      </c>
      <c r="CM157" s="99" t="inlineStr">
        <is>
          <t>-0,06%</t>
        </is>
      </c>
      <c r="CN157" s="100" t="inlineStr">
        <is>
          <t>8</t>
        </is>
      </c>
      <c r="CO157" s="101" t="inlineStr">
        <is>
          <t>-17,15%</t>
        </is>
      </c>
      <c r="CP157" s="102" t="inlineStr">
        <is>
          <t>7</t>
        </is>
      </c>
      <c r="CQ157" s="103" t="inlineStr">
        <is>
          <t>0,29%</t>
        </is>
      </c>
      <c r="CR157" s="104" t="inlineStr">
        <is>
          <t>91</t>
        </is>
      </c>
      <c r="CS157" s="105" t="inlineStr">
        <is>
          <t>-0,07%</t>
        </is>
      </c>
      <c r="CT157" s="106" t="inlineStr">
        <is>
          <t>5</t>
        </is>
      </c>
      <c r="CU157" s="107" t="inlineStr">
        <is>
          <t>-0,05%</t>
        </is>
      </c>
      <c r="CV157" s="108" t="inlineStr">
        <is>
          <t>14</t>
        </is>
      </c>
      <c r="CW157" s="109" t="inlineStr">
        <is>
          <t>748,15x</t>
        </is>
      </c>
      <c r="CX157" s="110" t="inlineStr">
        <is>
          <t>100</t>
        </is>
      </c>
      <c r="CY157" s="111" t="inlineStr">
        <is>
          <t>-3,33x</t>
        </is>
      </c>
      <c r="CZ157" s="112" t="inlineStr">
        <is>
          <t>-0,44%</t>
        </is>
      </c>
      <c r="DA157" s="113" t="inlineStr">
        <is>
          <t>726,28x</t>
        </is>
      </c>
      <c r="DB157" s="114" t="inlineStr">
        <is>
          <t>100</t>
        </is>
      </c>
      <c r="DC157" s="115" t="inlineStr">
        <is>
          <t>770,02x</t>
        </is>
      </c>
      <c r="DD157" s="116" t="inlineStr">
        <is>
          <t>100</t>
        </is>
      </c>
      <c r="DE157" s="117" t="inlineStr">
        <is>
          <t>1.241,76x</t>
        </is>
      </c>
      <c r="DF157" s="118" t="inlineStr">
        <is>
          <t>100</t>
        </is>
      </c>
      <c r="DG157" s="119" t="inlineStr">
        <is>
          <t>210,81x</t>
        </is>
      </c>
      <c r="DH157" s="120" t="inlineStr">
        <is>
          <t>100</t>
        </is>
      </c>
      <c r="DI157" s="121" t="inlineStr">
        <is>
          <t>1.511,55x</t>
        </is>
      </c>
      <c r="DJ157" s="122" t="inlineStr">
        <is>
          <t>100</t>
        </is>
      </c>
      <c r="DK157" s="123" t="inlineStr">
        <is>
          <t>28,48x</t>
        </is>
      </c>
      <c r="DL157" s="124" t="inlineStr">
        <is>
          <t>94</t>
        </is>
      </c>
      <c r="DM157" s="125" t="inlineStr">
        <is>
          <t>459.785</t>
        </is>
      </c>
      <c r="DN157" s="126" t="inlineStr">
        <is>
          <t>4.547</t>
        </is>
      </c>
      <c r="DO157" s="127" t="inlineStr">
        <is>
          <t>1,00%</t>
        </is>
      </c>
      <c r="DP157" s="128" t="inlineStr">
        <is>
          <t>1.197.478</t>
        </is>
      </c>
      <c r="DQ157" s="129" t="inlineStr">
        <is>
          <t>-802</t>
        </is>
      </c>
      <c r="DR157" s="130" t="inlineStr">
        <is>
          <t>-0,07%</t>
        </is>
      </c>
      <c r="DS157" s="131" t="inlineStr">
        <is>
          <t>7.595</t>
        </is>
      </c>
      <c r="DT157" s="132" t="inlineStr">
        <is>
          <t>1</t>
        </is>
      </c>
      <c r="DU157" s="133" t="inlineStr">
        <is>
          <t>0,01%</t>
        </is>
      </c>
      <c r="DV157" s="134" t="inlineStr">
        <is>
          <t>10.658</t>
        </is>
      </c>
      <c r="DW157" s="135" t="inlineStr">
        <is>
          <t>-3</t>
        </is>
      </c>
      <c r="DX157" s="136" t="inlineStr">
        <is>
          <t>-0,03%</t>
        </is>
      </c>
      <c r="DY157" s="137" t="inlineStr">
        <is>
          <t>PitchBook Research</t>
        </is>
      </c>
      <c r="DZ157" s="785">
        <f>HYPERLINK("https://my.pitchbook.com?c=113185-99", "View company online")</f>
      </c>
    </row>
    <row r="158">
      <c r="A158" s="139" t="inlineStr">
        <is>
          <t>98282-62</t>
        </is>
      </c>
      <c r="B158" s="140" t="inlineStr">
        <is>
          <t>Bankin'</t>
        </is>
      </c>
      <c r="C158" s="141" t="inlineStr">
        <is>
          <t/>
        </is>
      </c>
      <c r="D158" s="142" t="inlineStr">
        <is>
          <t/>
        </is>
      </c>
      <c r="E158" s="143" t="inlineStr">
        <is>
          <t>98282-62</t>
        </is>
      </c>
      <c r="F158" s="144" t="inlineStr">
        <is>
          <t>Developer of software application for managing personal finances. The company provides a mobile application for users to manage their bank accounts, budgets and assets.</t>
        </is>
      </c>
      <c r="G158" s="145" t="inlineStr">
        <is>
          <t>Information Technology</t>
        </is>
      </c>
      <c r="H158" s="146" t="inlineStr">
        <is>
          <t>Software</t>
        </is>
      </c>
      <c r="I158" s="147" t="inlineStr">
        <is>
          <t>Financial Software</t>
        </is>
      </c>
      <c r="J158" s="148" t="inlineStr">
        <is>
          <t>Financial Software*; Application Software</t>
        </is>
      </c>
      <c r="K158" s="149" t="inlineStr">
        <is>
          <t>FinTech, Mobile</t>
        </is>
      </c>
      <c r="L158" s="150" t="inlineStr">
        <is>
          <t>Venture Capital-Backed</t>
        </is>
      </c>
      <c r="M158" s="151" t="n">
        <v>8.4</v>
      </c>
      <c r="N158" s="152" t="inlineStr">
        <is>
          <t>Generating Revenue</t>
        </is>
      </c>
      <c r="O158" s="153" t="inlineStr">
        <is>
          <t>Privately Held (backing)</t>
        </is>
      </c>
      <c r="P158" s="154" t="inlineStr">
        <is>
          <t>Venture Capital</t>
        </is>
      </c>
      <c r="Q158" s="155" t="inlineStr">
        <is>
          <t>www.bankin.com</t>
        </is>
      </c>
      <c r="R158" s="156" t="n">
        <v>30.0</v>
      </c>
      <c r="S158" s="157" t="inlineStr">
        <is>
          <t/>
        </is>
      </c>
      <c r="T158" s="158" t="inlineStr">
        <is>
          <t/>
        </is>
      </c>
      <c r="U158" s="159" t="n">
        <v>2010.0</v>
      </c>
      <c r="V158" s="160" t="inlineStr">
        <is>
          <t/>
        </is>
      </c>
      <c r="W158" s="161" t="inlineStr">
        <is>
          <t/>
        </is>
      </c>
      <c r="X158" s="162" t="inlineStr">
        <is>
          <t/>
        </is>
      </c>
      <c r="Y158" s="163" t="inlineStr">
        <is>
          <t/>
        </is>
      </c>
      <c r="Z158" s="164" t="inlineStr">
        <is>
          <t/>
        </is>
      </c>
      <c r="AA158" s="165" t="inlineStr">
        <is>
          <t/>
        </is>
      </c>
      <c r="AB158" s="166" t="inlineStr">
        <is>
          <t/>
        </is>
      </c>
      <c r="AC158" s="167" t="inlineStr">
        <is>
          <t/>
        </is>
      </c>
      <c r="AD158" s="168" t="inlineStr">
        <is>
          <t/>
        </is>
      </c>
      <c r="AE158" s="169" t="inlineStr">
        <is>
          <t>81637-30P</t>
        </is>
      </c>
      <c r="AF158" s="170" t="inlineStr">
        <is>
          <t>Joan Burkovic</t>
        </is>
      </c>
      <c r="AG158" s="171" t="inlineStr">
        <is>
          <t>Co-Founder &amp; Chief Executive Officer</t>
        </is>
      </c>
      <c r="AH158" s="172" t="inlineStr">
        <is>
          <t>joan@bankin.com</t>
        </is>
      </c>
      <c r="AI158" s="173" t="inlineStr">
        <is>
          <t/>
        </is>
      </c>
      <c r="AJ158" s="174" t="inlineStr">
        <is>
          <t>Paris, France</t>
        </is>
      </c>
      <c r="AK158" s="175" t="inlineStr">
        <is>
          <t>41 rue de Prony</t>
        </is>
      </c>
      <c r="AL158" s="176" t="inlineStr">
        <is>
          <t/>
        </is>
      </c>
      <c r="AM158" s="177" t="inlineStr">
        <is>
          <t>Paris</t>
        </is>
      </c>
      <c r="AN158" s="178" t="inlineStr">
        <is>
          <t/>
        </is>
      </c>
      <c r="AO158" s="179" t="inlineStr">
        <is>
          <t>75017</t>
        </is>
      </c>
      <c r="AP158" s="180" t="inlineStr">
        <is>
          <t>France</t>
        </is>
      </c>
      <c r="AQ158" s="181" t="inlineStr">
        <is>
          <t/>
        </is>
      </c>
      <c r="AR158" s="182" t="inlineStr">
        <is>
          <t/>
        </is>
      </c>
      <c r="AS158" s="183" t="inlineStr">
        <is>
          <t/>
        </is>
      </c>
      <c r="AT158" s="184" t="inlineStr">
        <is>
          <t>Europe</t>
        </is>
      </c>
      <c r="AU158" s="185" t="inlineStr">
        <is>
          <t>Western Europe</t>
        </is>
      </c>
      <c r="AV158" s="186" t="inlineStr">
        <is>
          <t>The company raised EUR 7 million of venture funding in a deal led by Omnes Capital on January 10, 2017. Commerz Ventures, Generation NewTech and other undisclosed angel investors also participated in the round. The funds will be used to finance R&amp;D around its application.</t>
        </is>
      </c>
      <c r="AW158" s="187" t="inlineStr">
        <is>
          <t>CommerzVentures, Generation NewTech, Numa, Omnes Capital</t>
        </is>
      </c>
      <c r="AX158" s="188" t="n">
        <v>4.0</v>
      </c>
      <c r="AY158" s="189" t="inlineStr">
        <is>
          <t/>
        </is>
      </c>
      <c r="AZ158" s="190" t="inlineStr">
        <is>
          <t/>
        </is>
      </c>
      <c r="BA158" s="191" t="inlineStr">
        <is>
          <t/>
        </is>
      </c>
      <c r="BB158" s="192" t="inlineStr">
        <is>
          <t>CommerzVentures (www.commerzventures.de), Numa (www.numa.co), Omnes Capital (www.omnescapital.com)</t>
        </is>
      </c>
      <c r="BC158" s="193" t="inlineStr">
        <is>
          <t/>
        </is>
      </c>
      <c r="BD158" s="194" t="inlineStr">
        <is>
          <t/>
        </is>
      </c>
      <c r="BE158" s="195" t="inlineStr">
        <is>
          <t/>
        </is>
      </c>
      <c r="BF158" s="196" t="inlineStr">
        <is>
          <t/>
        </is>
      </c>
      <c r="BG158" s="197" t="inlineStr">
        <is>
          <t/>
        </is>
      </c>
      <c r="BH158" s="198" t="inlineStr">
        <is>
          <t/>
        </is>
      </c>
      <c r="BI158" s="199" t="inlineStr">
        <is>
          <t/>
        </is>
      </c>
      <c r="BJ158" s="200" t="inlineStr">
        <is>
          <t/>
        </is>
      </c>
      <c r="BK158" s="201" t="inlineStr">
        <is>
          <t/>
        </is>
      </c>
      <c r="BL158" s="202" t="inlineStr">
        <is>
          <t>Accelerator/Incubator</t>
        </is>
      </c>
      <c r="BM158" s="203" t="inlineStr">
        <is>
          <t/>
        </is>
      </c>
      <c r="BN158" s="204" t="inlineStr">
        <is>
          <t/>
        </is>
      </c>
      <c r="BO158" s="205" t="inlineStr">
        <is>
          <t>Other</t>
        </is>
      </c>
      <c r="BP158" s="206" t="inlineStr">
        <is>
          <t/>
        </is>
      </c>
      <c r="BQ158" s="207" t="inlineStr">
        <is>
          <t/>
        </is>
      </c>
      <c r="BR158" s="208" t="inlineStr">
        <is>
          <t/>
        </is>
      </c>
      <c r="BS158" s="209" t="inlineStr">
        <is>
          <t>Completed</t>
        </is>
      </c>
      <c r="BT158" s="210" t="n">
        <v>42745.0</v>
      </c>
      <c r="BU158" s="211" t="n">
        <v>7.0</v>
      </c>
      <c r="BV158" s="212" t="inlineStr">
        <is>
          <t>Actual</t>
        </is>
      </c>
      <c r="BW158" s="213" t="inlineStr">
        <is>
          <t/>
        </is>
      </c>
      <c r="BX158" s="214" t="inlineStr">
        <is>
          <t/>
        </is>
      </c>
      <c r="BY158" s="215" t="inlineStr">
        <is>
          <t>Later Stage VC</t>
        </is>
      </c>
      <c r="BZ158" s="216" t="inlineStr">
        <is>
          <t/>
        </is>
      </c>
      <c r="CA158" s="217" t="inlineStr">
        <is>
          <t/>
        </is>
      </c>
      <c r="CB158" s="218" t="inlineStr">
        <is>
          <t>Venture Capital</t>
        </is>
      </c>
      <c r="CC158" s="219" t="inlineStr">
        <is>
          <t/>
        </is>
      </c>
      <c r="CD158" s="220" t="inlineStr">
        <is>
          <t/>
        </is>
      </c>
      <c r="CE158" s="221" t="inlineStr">
        <is>
          <t/>
        </is>
      </c>
      <c r="CF158" s="222" t="inlineStr">
        <is>
          <t>Completed</t>
        </is>
      </c>
      <c r="CG158" s="223" t="inlineStr">
        <is>
          <t>-4,21%</t>
        </is>
      </c>
      <c r="CH158" s="224" t="inlineStr">
        <is>
          <t>5</t>
        </is>
      </c>
      <c r="CI158" s="225" t="inlineStr">
        <is>
          <t>-0,04%</t>
        </is>
      </c>
      <c r="CJ158" s="226" t="inlineStr">
        <is>
          <t>-0,92%</t>
        </is>
      </c>
      <c r="CK158" s="227" t="inlineStr">
        <is>
          <t>-13,94%</t>
        </is>
      </c>
      <c r="CL158" s="228" t="inlineStr">
        <is>
          <t>1</t>
        </is>
      </c>
      <c r="CM158" s="229" t="inlineStr">
        <is>
          <t>0,36%</t>
        </is>
      </c>
      <c r="CN158" s="230" t="inlineStr">
        <is>
          <t>83</t>
        </is>
      </c>
      <c r="CO158" s="231" t="inlineStr">
        <is>
          <t>-27,87%</t>
        </is>
      </c>
      <c r="CP158" s="232" t="inlineStr">
        <is>
          <t>2</t>
        </is>
      </c>
      <c r="CQ158" s="233" t="inlineStr">
        <is>
          <t>0,00%</t>
        </is>
      </c>
      <c r="CR158" s="234" t="inlineStr">
        <is>
          <t>20</t>
        </is>
      </c>
      <c r="CS158" s="235" t="inlineStr">
        <is>
          <t>0,19%</t>
        </is>
      </c>
      <c r="CT158" s="236" t="inlineStr">
        <is>
          <t>68</t>
        </is>
      </c>
      <c r="CU158" s="237" t="inlineStr">
        <is>
          <t>0,54%</t>
        </is>
      </c>
      <c r="CV158" s="238" t="inlineStr">
        <is>
          <t>92</t>
        </is>
      </c>
      <c r="CW158" s="239" t="inlineStr">
        <is>
          <t>4,67x</t>
        </is>
      </c>
      <c r="CX158" s="240" t="inlineStr">
        <is>
          <t>79</t>
        </is>
      </c>
      <c r="CY158" s="241" t="inlineStr">
        <is>
          <t>-0,02x</t>
        </is>
      </c>
      <c r="CZ158" s="242" t="inlineStr">
        <is>
          <t>-0,42%</t>
        </is>
      </c>
      <c r="DA158" s="243" t="inlineStr">
        <is>
          <t>0,64x</t>
        </is>
      </c>
      <c r="DB158" s="244" t="inlineStr">
        <is>
          <t>40</t>
        </is>
      </c>
      <c r="DC158" s="245" t="inlineStr">
        <is>
          <t>12,79x</t>
        </is>
      </c>
      <c r="DD158" s="246" t="inlineStr">
        <is>
          <t>86</t>
        </is>
      </c>
      <c r="DE158" s="247" t="inlineStr">
        <is>
          <t>0,61x</t>
        </is>
      </c>
      <c r="DF158" s="248" t="inlineStr">
        <is>
          <t>38</t>
        </is>
      </c>
      <c r="DG158" s="249" t="inlineStr">
        <is>
          <t>0,67x</t>
        </is>
      </c>
      <c r="DH158" s="250" t="inlineStr">
        <is>
          <t>42</t>
        </is>
      </c>
      <c r="DI158" s="251" t="inlineStr">
        <is>
          <t>13,46x</t>
        </is>
      </c>
      <c r="DJ158" s="252" t="inlineStr">
        <is>
          <t>84</t>
        </is>
      </c>
      <c r="DK158" s="253" t="inlineStr">
        <is>
          <t>12,13x</t>
        </is>
      </c>
      <c r="DL158" s="254" t="inlineStr">
        <is>
          <t>89</t>
        </is>
      </c>
      <c r="DM158" s="255" t="inlineStr">
        <is>
          <t>225</t>
        </is>
      </c>
      <c r="DN158" s="256" t="inlineStr">
        <is>
          <t>2</t>
        </is>
      </c>
      <c r="DO158" s="257" t="inlineStr">
        <is>
          <t>0,90%</t>
        </is>
      </c>
      <c r="DP158" s="258" t="inlineStr">
        <is>
          <t>10.646</t>
        </is>
      </c>
      <c r="DQ158" s="259" t="inlineStr">
        <is>
          <t>32</t>
        </is>
      </c>
      <c r="DR158" s="260" t="inlineStr">
        <is>
          <t>0,30%</t>
        </is>
      </c>
      <c r="DS158" s="261" t="inlineStr">
        <is>
          <t>24</t>
        </is>
      </c>
      <c r="DT158" s="262" t="inlineStr">
        <is>
          <t>0</t>
        </is>
      </c>
      <c r="DU158" s="263" t="inlineStr">
        <is>
          <t>0,00%</t>
        </is>
      </c>
      <c r="DV158" s="264" t="inlineStr">
        <is>
          <t>4.531</t>
        </is>
      </c>
      <c r="DW158" s="265" t="inlineStr">
        <is>
          <t>16</t>
        </is>
      </c>
      <c r="DX158" s="266" t="inlineStr">
        <is>
          <t>0,35%</t>
        </is>
      </c>
      <c r="DY158" s="267" t="inlineStr">
        <is>
          <t>PitchBook Research</t>
        </is>
      </c>
      <c r="DZ158" s="786">
        <f>HYPERLINK("https://my.pitchbook.com?c=98282-62", "View company online")</f>
      </c>
    </row>
    <row r="159">
      <c r="A159" s="9" t="inlineStr">
        <is>
          <t>56626-66</t>
        </is>
      </c>
      <c r="B159" s="10" t="inlineStr">
        <is>
          <t>Augment (Multimedia and Design Software)</t>
        </is>
      </c>
      <c r="C159" s="11" t="inlineStr">
        <is>
          <t/>
        </is>
      </c>
      <c r="D159" s="12" t="inlineStr">
        <is>
          <t>Augment</t>
        </is>
      </c>
      <c r="E159" s="13" t="inlineStr">
        <is>
          <t>56626-66</t>
        </is>
      </c>
      <c r="F159" s="14" t="inlineStr">
        <is>
          <t>Developer of an augmented reality platform designed to upload and manage client's 3D models. The company's augmented reality platform makes animation simple to preview and configure multimedia models, enabling users to create 3D characters from mobile or desktop.</t>
        </is>
      </c>
      <c r="G159" s="15" t="inlineStr">
        <is>
          <t>Information Technology</t>
        </is>
      </c>
      <c r="H159" s="16" t="inlineStr">
        <is>
          <t>Software</t>
        </is>
      </c>
      <c r="I159" s="17" t="inlineStr">
        <is>
          <t>Multimedia and Design Software</t>
        </is>
      </c>
      <c r="J159" s="18" t="inlineStr">
        <is>
          <t>Multimedia and Design Software*; Application Software; Business/Productivity Software</t>
        </is>
      </c>
      <c r="K159" s="19" t="inlineStr">
        <is>
          <t>Mobile, Virtual Reality</t>
        </is>
      </c>
      <c r="L159" s="20" t="inlineStr">
        <is>
          <t>Venture Capital-Backed</t>
        </is>
      </c>
      <c r="M159" s="21" t="n">
        <v>8.22</v>
      </c>
      <c r="N159" s="22" t="inlineStr">
        <is>
          <t>Generating Revenue</t>
        </is>
      </c>
      <c r="O159" s="23" t="inlineStr">
        <is>
          <t>Privately Held (backing)</t>
        </is>
      </c>
      <c r="P159" s="24" t="inlineStr">
        <is>
          <t>Venture Capital</t>
        </is>
      </c>
      <c r="Q159" s="25" t="inlineStr">
        <is>
          <t>www.augment.com</t>
        </is>
      </c>
      <c r="R159" s="26" t="n">
        <v>40.0</v>
      </c>
      <c r="S159" s="27" t="inlineStr">
        <is>
          <t/>
        </is>
      </c>
      <c r="T159" s="28" t="inlineStr">
        <is>
          <t/>
        </is>
      </c>
      <c r="U159" s="29" t="n">
        <v>2011.0</v>
      </c>
      <c r="V159" s="30" t="inlineStr">
        <is>
          <t/>
        </is>
      </c>
      <c r="W159" s="31" t="inlineStr">
        <is>
          <t/>
        </is>
      </c>
      <c r="X159" s="32" t="inlineStr">
        <is>
          <t/>
        </is>
      </c>
      <c r="Y159" s="33" t="inlineStr">
        <is>
          <t/>
        </is>
      </c>
      <c r="Z159" s="34" t="inlineStr">
        <is>
          <t/>
        </is>
      </c>
      <c r="AA159" s="35" t="inlineStr">
        <is>
          <t/>
        </is>
      </c>
      <c r="AB159" s="36" t="inlineStr">
        <is>
          <t/>
        </is>
      </c>
      <c r="AC159" s="37" t="inlineStr">
        <is>
          <t/>
        </is>
      </c>
      <c r="AD159" s="38" t="inlineStr">
        <is>
          <t/>
        </is>
      </c>
      <c r="AE159" s="39" t="inlineStr">
        <is>
          <t>53279-02P</t>
        </is>
      </c>
      <c r="AF159" s="40" t="inlineStr">
        <is>
          <t>Jean-François Chianetta</t>
        </is>
      </c>
      <c r="AG159" s="41" t="inlineStr">
        <is>
          <t>Co-Founder &amp; Chief Executive Officer</t>
        </is>
      </c>
      <c r="AH159" s="42" t="inlineStr">
        <is>
          <t>jeanfrancois@agmt.co</t>
        </is>
      </c>
      <c r="AI159" s="43" t="inlineStr">
        <is>
          <t>+33 (0)1 76 36 09 64</t>
        </is>
      </c>
      <c r="AJ159" s="44" t="inlineStr">
        <is>
          <t>Paris, France</t>
        </is>
      </c>
      <c r="AK159" s="45" t="inlineStr">
        <is>
          <t>107 Avenue Parmentier</t>
        </is>
      </c>
      <c r="AL159" s="46" t="inlineStr">
        <is>
          <t/>
        </is>
      </c>
      <c r="AM159" s="47" t="inlineStr">
        <is>
          <t>Paris</t>
        </is>
      </c>
      <c r="AN159" s="48" t="inlineStr">
        <is>
          <t/>
        </is>
      </c>
      <c r="AO159" s="49" t="inlineStr">
        <is>
          <t>75011</t>
        </is>
      </c>
      <c r="AP159" s="50" t="inlineStr">
        <is>
          <t>France</t>
        </is>
      </c>
      <c r="AQ159" s="51" t="inlineStr">
        <is>
          <t>+33 (0)1 76 36 09 64</t>
        </is>
      </c>
      <c r="AR159" s="52" t="inlineStr">
        <is>
          <t/>
        </is>
      </c>
      <c r="AS159" s="53" t="inlineStr">
        <is>
          <t>contact@agmt.co</t>
        </is>
      </c>
      <c r="AT159" s="54" t="inlineStr">
        <is>
          <t>Europe</t>
        </is>
      </c>
      <c r="AU159" s="55" t="inlineStr">
        <is>
          <t>Western Europe</t>
        </is>
      </c>
      <c r="AV159" s="56" t="inlineStr">
        <is>
          <t>The company raised $5 million of venture funding in a deal led by Silicon Valley Data Capital and JAZZ Venture Partners on September 14, 2017. Other undisclosed investors also participated in this round. The company will use the funds to bolster the Augment AI platform.</t>
        </is>
      </c>
      <c r="AW159" s="57" t="inlineStr">
        <is>
          <t>Impulse Labs, JAZZ Venture Partners, Laurent Therezien, Nicolas Vauvilliez, Numa, Olivier Mathiot, Salesforce Ventures, Silicon Valley Data Capital, Tristan Vyskoc</t>
        </is>
      </c>
      <c r="AX159" s="58" t="n">
        <v>9.0</v>
      </c>
      <c r="AY159" s="59" t="inlineStr">
        <is>
          <t/>
        </is>
      </c>
      <c r="AZ159" s="60" t="inlineStr">
        <is>
          <t/>
        </is>
      </c>
      <c r="BA159" s="61" t="inlineStr">
        <is>
          <t/>
        </is>
      </c>
      <c r="BB159" s="62" t="inlineStr">
        <is>
          <t>Impulse Labs (www.impulse-labs.fr), JAZZ Venture Partners (www.jazzvp.com), Numa (www.numa.co)</t>
        </is>
      </c>
      <c r="BC159" s="63" t="inlineStr">
        <is>
          <t/>
        </is>
      </c>
      <c r="BD159" s="64" t="inlineStr">
        <is>
          <t/>
        </is>
      </c>
      <c r="BE159" s="65" t="inlineStr">
        <is>
          <t/>
        </is>
      </c>
      <c r="BF159" s="66" t="inlineStr">
        <is>
          <t/>
        </is>
      </c>
      <c r="BG159" s="67" t="inlineStr">
        <is>
          <t/>
        </is>
      </c>
      <c r="BH159" s="68" t="n">
        <v>0.01</v>
      </c>
      <c r="BI159" s="69" t="inlineStr">
        <is>
          <t>Actual</t>
        </is>
      </c>
      <c r="BJ159" s="70" t="inlineStr">
        <is>
          <t/>
        </is>
      </c>
      <c r="BK159" s="71" t="inlineStr">
        <is>
          <t/>
        </is>
      </c>
      <c r="BL159" s="72" t="inlineStr">
        <is>
          <t>Accelerator/Incubator</t>
        </is>
      </c>
      <c r="BM159" s="73" t="inlineStr">
        <is>
          <t/>
        </is>
      </c>
      <c r="BN159" s="74" t="inlineStr">
        <is>
          <t/>
        </is>
      </c>
      <c r="BO159" s="75" t="inlineStr">
        <is>
          <t>Venture Capital</t>
        </is>
      </c>
      <c r="BP159" s="76" t="inlineStr">
        <is>
          <t/>
        </is>
      </c>
      <c r="BQ159" s="77" t="inlineStr">
        <is>
          <t/>
        </is>
      </c>
      <c r="BR159" s="78" t="inlineStr">
        <is>
          <t/>
        </is>
      </c>
      <c r="BS159" s="79" t="inlineStr">
        <is>
          <t>Completed</t>
        </is>
      </c>
      <c r="BT159" s="80" t="n">
        <v>42992.0</v>
      </c>
      <c r="BU159" s="81" t="n">
        <v>4.19</v>
      </c>
      <c r="BV159" s="82" t="inlineStr">
        <is>
          <t>Actual</t>
        </is>
      </c>
      <c r="BW159" s="83" t="inlineStr">
        <is>
          <t/>
        </is>
      </c>
      <c r="BX159" s="84" t="inlineStr">
        <is>
          <t/>
        </is>
      </c>
      <c r="BY159" s="85" t="inlineStr">
        <is>
          <t>Later Stage VC</t>
        </is>
      </c>
      <c r="BZ159" s="86" t="inlineStr">
        <is>
          <t/>
        </is>
      </c>
      <c r="CA159" s="87" t="inlineStr">
        <is>
          <t/>
        </is>
      </c>
      <c r="CB159" s="88" t="inlineStr">
        <is>
          <t>Venture Capital</t>
        </is>
      </c>
      <c r="CC159" s="89" t="inlineStr">
        <is>
          <t/>
        </is>
      </c>
      <c r="CD159" s="90" t="inlineStr">
        <is>
          <t/>
        </is>
      </c>
      <c r="CE159" s="91" t="inlineStr">
        <is>
          <t/>
        </is>
      </c>
      <c r="CF159" s="92" t="inlineStr">
        <is>
          <t>Completed</t>
        </is>
      </c>
      <c r="CG159" s="93" t="inlineStr">
        <is>
          <t>-3,93%</t>
        </is>
      </c>
      <c r="CH159" s="94" t="inlineStr">
        <is>
          <t>5</t>
        </is>
      </c>
      <c r="CI159" s="95" t="inlineStr">
        <is>
          <t>0,00%</t>
        </is>
      </c>
      <c r="CJ159" s="96" t="inlineStr">
        <is>
          <t>-0,12%</t>
        </is>
      </c>
      <c r="CK159" s="97" t="inlineStr">
        <is>
          <t>-12,26%</t>
        </is>
      </c>
      <c r="CL159" s="98" t="inlineStr">
        <is>
          <t>2</t>
        </is>
      </c>
      <c r="CM159" s="99" t="inlineStr">
        <is>
          <t>0,17%</t>
        </is>
      </c>
      <c r="CN159" s="100" t="inlineStr">
        <is>
          <t>68</t>
        </is>
      </c>
      <c r="CO159" s="101" t="inlineStr">
        <is>
          <t>-12,26%</t>
        </is>
      </c>
      <c r="CP159" s="102" t="inlineStr">
        <is>
          <t>10</t>
        </is>
      </c>
      <c r="CQ159" s="103" t="inlineStr">
        <is>
          <t/>
        </is>
      </c>
      <c r="CR159" s="104" t="inlineStr">
        <is>
          <t/>
        </is>
      </c>
      <c r="CS159" s="105" t="inlineStr">
        <is>
          <t>0,07%</t>
        </is>
      </c>
      <c r="CT159" s="106" t="inlineStr">
        <is>
          <t>51</t>
        </is>
      </c>
      <c r="CU159" s="107" t="inlineStr">
        <is>
          <t>0,27%</t>
        </is>
      </c>
      <c r="CV159" s="108" t="inlineStr">
        <is>
          <t>82</t>
        </is>
      </c>
      <c r="CW159" s="109" t="inlineStr">
        <is>
          <t>12,88x</t>
        </is>
      </c>
      <c r="CX159" s="110" t="inlineStr">
        <is>
          <t>90</t>
        </is>
      </c>
      <c r="CY159" s="111" t="inlineStr">
        <is>
          <t>-0,02x</t>
        </is>
      </c>
      <c r="CZ159" s="112" t="inlineStr">
        <is>
          <t>-0,16%</t>
        </is>
      </c>
      <c r="DA159" s="113" t="inlineStr">
        <is>
          <t>29,02x</t>
        </is>
      </c>
      <c r="DB159" s="114" t="inlineStr">
        <is>
          <t>96</t>
        </is>
      </c>
      <c r="DC159" s="115" t="inlineStr">
        <is>
          <t>9,49x</t>
        </is>
      </c>
      <c r="DD159" s="116" t="inlineStr">
        <is>
          <t>84</t>
        </is>
      </c>
      <c r="DE159" s="117" t="inlineStr">
        <is>
          <t>29,02x</t>
        </is>
      </c>
      <c r="DF159" s="118" t="inlineStr">
        <is>
          <t>94</t>
        </is>
      </c>
      <c r="DG159" s="119" t="inlineStr">
        <is>
          <t/>
        </is>
      </c>
      <c r="DH159" s="120" t="inlineStr">
        <is>
          <t/>
        </is>
      </c>
      <c r="DI159" s="121" t="inlineStr">
        <is>
          <t>8,53x</t>
        </is>
      </c>
      <c r="DJ159" s="122" t="inlineStr">
        <is>
          <t>80</t>
        </is>
      </c>
      <c r="DK159" s="123" t="inlineStr">
        <is>
          <t>10,44x</t>
        </is>
      </c>
      <c r="DL159" s="124" t="inlineStr">
        <is>
          <t>87</t>
        </is>
      </c>
      <c r="DM159" s="125" t="inlineStr">
        <is>
          <t>10.774</t>
        </is>
      </c>
      <c r="DN159" s="126" t="inlineStr">
        <is>
          <t>-32</t>
        </is>
      </c>
      <c r="DO159" s="127" t="inlineStr">
        <is>
          <t>-0,30%</t>
        </is>
      </c>
      <c r="DP159" s="128" t="inlineStr">
        <is>
          <t>6.754</t>
        </is>
      </c>
      <c r="DQ159" s="129" t="inlineStr">
        <is>
          <t>5</t>
        </is>
      </c>
      <c r="DR159" s="130" t="inlineStr">
        <is>
          <t>0,07%</t>
        </is>
      </c>
      <c r="DS159" s="131" t="inlineStr">
        <is>
          <t/>
        </is>
      </c>
      <c r="DT159" s="132" t="inlineStr">
        <is>
          <t/>
        </is>
      </c>
      <c r="DU159" s="133" t="inlineStr">
        <is>
          <t/>
        </is>
      </c>
      <c r="DV159" s="134" t="inlineStr">
        <is>
          <t>3.893</t>
        </is>
      </c>
      <c r="DW159" s="135" t="inlineStr">
        <is>
          <t>13</t>
        </is>
      </c>
      <c r="DX159" s="136" t="inlineStr">
        <is>
          <t>0,34%</t>
        </is>
      </c>
      <c r="DY159" s="137" t="inlineStr">
        <is>
          <t>PitchBook Research</t>
        </is>
      </c>
      <c r="DZ159" s="785">
        <f>HYPERLINK("https://my.pitchbook.com?c=56626-66", "View company online")</f>
      </c>
    </row>
    <row r="160">
      <c r="A160" s="139" t="inlineStr">
        <is>
          <t>57426-67</t>
        </is>
      </c>
      <c r="B160" s="140" t="inlineStr">
        <is>
          <t>Coniq</t>
        </is>
      </c>
      <c r="C160" s="141" t="inlineStr">
        <is>
          <t>Football123</t>
        </is>
      </c>
      <c r="D160" s="142" t="inlineStr">
        <is>
          <t/>
        </is>
      </c>
      <c r="E160" s="143" t="inlineStr">
        <is>
          <t>57426-67</t>
        </is>
      </c>
      <c r="F160" s="144" t="inlineStr">
        <is>
          <t>Provider of marketing promotion services designed to help businesses to better understand their customers. The company's marketing promotion services include development of digital platform that issues coupons, vouchers and loyalty cards across physical and digital media, enabling clients to learn more about their customers and how they behave.</t>
        </is>
      </c>
      <c r="G160" s="145" t="inlineStr">
        <is>
          <t>Business Products and Services (B2B)</t>
        </is>
      </c>
      <c r="H160" s="146" t="inlineStr">
        <is>
          <t>Commercial Services</t>
        </is>
      </c>
      <c r="I160" s="147" t="inlineStr">
        <is>
          <t>Media and Information Services (B2B)</t>
        </is>
      </c>
      <c r="J160" s="148" t="inlineStr">
        <is>
          <t>Media and Information Services (B2B)*; Business/Productivity Software</t>
        </is>
      </c>
      <c r="K160" s="149" t="inlineStr">
        <is>
          <t>Marketing Tech</t>
        </is>
      </c>
      <c r="L160" s="150" t="inlineStr">
        <is>
          <t>Venture Capital-Backed</t>
        </is>
      </c>
      <c r="M160" s="151" t="n">
        <v>8.21</v>
      </c>
      <c r="N160" s="152" t="inlineStr">
        <is>
          <t>Generating Revenue</t>
        </is>
      </c>
      <c r="O160" s="153" t="inlineStr">
        <is>
          <t>Privately Held (backing)</t>
        </is>
      </c>
      <c r="P160" s="154" t="inlineStr">
        <is>
          <t>Venture Capital, M&amp;A</t>
        </is>
      </c>
      <c r="Q160" s="155" t="inlineStr">
        <is>
          <t>www.coniq.com</t>
        </is>
      </c>
      <c r="R160" s="156" t="n">
        <v>34.0</v>
      </c>
      <c r="S160" s="157" t="inlineStr">
        <is>
          <t/>
        </is>
      </c>
      <c r="T160" s="158" t="inlineStr">
        <is>
          <t/>
        </is>
      </c>
      <c r="U160" s="159" t="n">
        <v>2004.0</v>
      </c>
      <c r="V160" s="160" t="inlineStr">
        <is>
          <t/>
        </is>
      </c>
      <c r="W160" s="161" t="inlineStr">
        <is>
          <t/>
        </is>
      </c>
      <c r="X160" s="162" t="inlineStr">
        <is>
          <t/>
        </is>
      </c>
      <c r="Y160" s="163" t="inlineStr">
        <is>
          <t/>
        </is>
      </c>
      <c r="Z160" s="164" t="inlineStr">
        <is>
          <t/>
        </is>
      </c>
      <c r="AA160" s="165" t="inlineStr">
        <is>
          <t/>
        </is>
      </c>
      <c r="AB160" s="166" t="inlineStr">
        <is>
          <t/>
        </is>
      </c>
      <c r="AC160" s="167" t="inlineStr">
        <is>
          <t/>
        </is>
      </c>
      <c r="AD160" s="168" t="inlineStr">
        <is>
          <t/>
        </is>
      </c>
      <c r="AE160" s="169" t="inlineStr">
        <is>
          <t>71496-91P</t>
        </is>
      </c>
      <c r="AF160" s="170" t="inlineStr">
        <is>
          <t>James Waldegrave</t>
        </is>
      </c>
      <c r="AG160" s="171" t="inlineStr">
        <is>
          <t>Finance Director &amp; Board Member</t>
        </is>
      </c>
      <c r="AH160" s="172" t="inlineStr">
        <is>
          <t>jamie.waldegrave@coniq.com</t>
        </is>
      </c>
      <c r="AI160" s="173" t="inlineStr">
        <is>
          <t>+44 (0)20 7078 8333</t>
        </is>
      </c>
      <c r="AJ160" s="174" t="inlineStr">
        <is>
          <t>London, United Kingdom</t>
        </is>
      </c>
      <c r="AK160" s="175" t="inlineStr">
        <is>
          <t>River House</t>
        </is>
      </c>
      <c r="AL160" s="176" t="inlineStr">
        <is>
          <t>143-145 Farringdon Road</t>
        </is>
      </c>
      <c r="AM160" s="177" t="inlineStr">
        <is>
          <t>London</t>
        </is>
      </c>
      <c r="AN160" s="178" t="inlineStr">
        <is>
          <t>England</t>
        </is>
      </c>
      <c r="AO160" s="179" t="inlineStr">
        <is>
          <t>EC1R 3AB</t>
        </is>
      </c>
      <c r="AP160" s="180" t="inlineStr">
        <is>
          <t>United Kingdom</t>
        </is>
      </c>
      <c r="AQ160" s="181" t="inlineStr">
        <is>
          <t>+44 (0)20 7078 8333</t>
        </is>
      </c>
      <c r="AR160" s="182" t="inlineStr">
        <is>
          <t/>
        </is>
      </c>
      <c r="AS160" s="183" t="inlineStr">
        <is>
          <t>info@coniq.com</t>
        </is>
      </c>
      <c r="AT160" s="184" t="inlineStr">
        <is>
          <t>Europe</t>
        </is>
      </c>
      <c r="AU160" s="185" t="inlineStr">
        <is>
          <t>Western Europe</t>
        </is>
      </c>
      <c r="AV160" s="186" t="inlineStr">
        <is>
          <t>The company raised GBP 1.51 million of venture funding from undisclosed investors on June 15, 2017, putting the pre-money valuation at GBP 12.08 million.</t>
        </is>
      </c>
      <c r="AW160" s="187" t="inlineStr">
        <is>
          <t>Apax Partners, Bury Fitzwilliam-Lay &amp; Partners, Episode 1 Ventures, Individual Investor, Samos Investments, Venrex Investment Management</t>
        </is>
      </c>
      <c r="AX160" s="188" t="n">
        <v>6.0</v>
      </c>
      <c r="AY160" s="189" t="inlineStr">
        <is>
          <t/>
        </is>
      </c>
      <c r="AZ160" s="190" t="inlineStr">
        <is>
          <t/>
        </is>
      </c>
      <c r="BA160" s="191" t="inlineStr">
        <is>
          <t/>
        </is>
      </c>
      <c r="BB160" s="192" t="inlineStr">
        <is>
          <t>Apax Partners (www.apax.com), Episode 1 Ventures (www.episode1.com), Samos Investments (www.samos.uk.com)</t>
        </is>
      </c>
      <c r="BC160" s="193" t="inlineStr">
        <is>
          <t/>
        </is>
      </c>
      <c r="BD160" s="194" t="inlineStr">
        <is>
          <t/>
        </is>
      </c>
      <c r="BE160" s="195" t="inlineStr">
        <is>
          <t/>
        </is>
      </c>
      <c r="BF160" s="196" t="inlineStr">
        <is>
          <t>Cavendish Corporate Finance (Advisor: General)</t>
        </is>
      </c>
      <c r="BG160" s="197" t="n">
        <v>40385.0</v>
      </c>
      <c r="BH160" s="198" t="n">
        <v>1.0</v>
      </c>
      <c r="BI160" s="199" t="inlineStr">
        <is>
          <t>Actual</t>
        </is>
      </c>
      <c r="BJ160" s="200" t="n">
        <v>6.21</v>
      </c>
      <c r="BK160" s="201" t="inlineStr">
        <is>
          <t>Actual</t>
        </is>
      </c>
      <c r="BL160" s="202" t="inlineStr">
        <is>
          <t>Corporate</t>
        </is>
      </c>
      <c r="BM160" s="203" t="inlineStr">
        <is>
          <t>Corporate</t>
        </is>
      </c>
      <c r="BN160" s="204" t="inlineStr">
        <is>
          <t/>
        </is>
      </c>
      <c r="BO160" s="205" t="inlineStr">
        <is>
          <t>Corporate</t>
        </is>
      </c>
      <c r="BP160" s="206" t="inlineStr">
        <is>
          <t/>
        </is>
      </c>
      <c r="BQ160" s="207" t="inlineStr">
        <is>
          <t/>
        </is>
      </c>
      <c r="BR160" s="208" t="inlineStr">
        <is>
          <t/>
        </is>
      </c>
      <c r="BS160" s="209" t="inlineStr">
        <is>
          <t>Completed</t>
        </is>
      </c>
      <c r="BT160" s="210" t="n">
        <v>42901.0</v>
      </c>
      <c r="BU160" s="211" t="n">
        <v>1.73</v>
      </c>
      <c r="BV160" s="212" t="inlineStr">
        <is>
          <t>Actual</t>
        </is>
      </c>
      <c r="BW160" s="213" t="n">
        <v>15.51</v>
      </c>
      <c r="BX160" s="214" t="inlineStr">
        <is>
          <t>Actual</t>
        </is>
      </c>
      <c r="BY160" s="215" t="inlineStr">
        <is>
          <t>Later Stage VC</t>
        </is>
      </c>
      <c r="BZ160" s="216" t="inlineStr">
        <is>
          <t/>
        </is>
      </c>
      <c r="CA160" s="217" t="inlineStr">
        <is>
          <t/>
        </is>
      </c>
      <c r="CB160" s="218" t="inlineStr">
        <is>
          <t>Venture Capital</t>
        </is>
      </c>
      <c r="CC160" s="219" t="inlineStr">
        <is>
          <t/>
        </is>
      </c>
      <c r="CD160" s="220" t="inlineStr">
        <is>
          <t/>
        </is>
      </c>
      <c r="CE160" s="221" t="inlineStr">
        <is>
          <t/>
        </is>
      </c>
      <c r="CF160" s="222" t="inlineStr">
        <is>
          <t>Completed</t>
        </is>
      </c>
      <c r="CG160" s="223" t="inlineStr">
        <is>
          <t>0,38%</t>
        </is>
      </c>
      <c r="CH160" s="224" t="inlineStr">
        <is>
          <t>90</t>
        </is>
      </c>
      <c r="CI160" s="225" t="inlineStr">
        <is>
          <t>0,16%</t>
        </is>
      </c>
      <c r="CJ160" s="226" t="inlineStr">
        <is>
          <t>76,74%</t>
        </is>
      </c>
      <c r="CK160" s="227" t="inlineStr">
        <is>
          <t>0,68%</t>
        </is>
      </c>
      <c r="CL160" s="228" t="inlineStr">
        <is>
          <t>94</t>
        </is>
      </c>
      <c r="CM160" s="229" t="inlineStr">
        <is>
          <t>0,07%</t>
        </is>
      </c>
      <c r="CN160" s="230" t="inlineStr">
        <is>
          <t>53</t>
        </is>
      </c>
      <c r="CO160" s="231" t="inlineStr">
        <is>
          <t>0,00%</t>
        </is>
      </c>
      <c r="CP160" s="232" t="inlineStr">
        <is>
          <t>37</t>
        </is>
      </c>
      <c r="CQ160" s="233" t="inlineStr">
        <is>
          <t>1,36%</t>
        </is>
      </c>
      <c r="CR160" s="234" t="inlineStr">
        <is>
          <t>94</t>
        </is>
      </c>
      <c r="CS160" s="235" t="inlineStr">
        <is>
          <t>0,05%</t>
        </is>
      </c>
      <c r="CT160" s="236" t="inlineStr">
        <is>
          <t>48</t>
        </is>
      </c>
      <c r="CU160" s="237" t="inlineStr">
        <is>
          <t>0,10%</t>
        </is>
      </c>
      <c r="CV160" s="238" t="inlineStr">
        <is>
          <t>66</t>
        </is>
      </c>
      <c r="CW160" s="239" t="inlineStr">
        <is>
          <t>2,69x</t>
        </is>
      </c>
      <c r="CX160" s="240" t="inlineStr">
        <is>
          <t>70</t>
        </is>
      </c>
      <c r="CY160" s="241" t="inlineStr">
        <is>
          <t>-0,03x</t>
        </is>
      </c>
      <c r="CZ160" s="242" t="inlineStr">
        <is>
          <t>-1,17%</t>
        </is>
      </c>
      <c r="DA160" s="243" t="inlineStr">
        <is>
          <t>2,90x</t>
        </is>
      </c>
      <c r="DB160" s="244" t="inlineStr">
        <is>
          <t>73</t>
        </is>
      </c>
      <c r="DC160" s="245" t="inlineStr">
        <is>
          <t>2,47x</t>
        </is>
      </c>
      <c r="DD160" s="246" t="inlineStr">
        <is>
          <t>65</t>
        </is>
      </c>
      <c r="DE160" s="247" t="inlineStr">
        <is>
          <t>0,09x</t>
        </is>
      </c>
      <c r="DF160" s="248" t="inlineStr">
        <is>
          <t>4</t>
        </is>
      </c>
      <c r="DG160" s="249" t="inlineStr">
        <is>
          <t>5,72x</t>
        </is>
      </c>
      <c r="DH160" s="250" t="inlineStr">
        <is>
          <t>81</t>
        </is>
      </c>
      <c r="DI160" s="251" t="inlineStr">
        <is>
          <t>0,34x</t>
        </is>
      </c>
      <c r="DJ160" s="252" t="inlineStr">
        <is>
          <t>32</t>
        </is>
      </c>
      <c r="DK160" s="253" t="inlineStr">
        <is>
          <t>4,60x</t>
        </is>
      </c>
      <c r="DL160" s="254" t="inlineStr">
        <is>
          <t>78</t>
        </is>
      </c>
      <c r="DM160" s="255" t="inlineStr">
        <is>
          <t>33</t>
        </is>
      </c>
      <c r="DN160" s="256" t="inlineStr">
        <is>
          <t>-5</t>
        </is>
      </c>
      <c r="DO160" s="257" t="inlineStr">
        <is>
          <t>-13,16%</t>
        </is>
      </c>
      <c r="DP160" s="258" t="inlineStr">
        <is>
          <t>271</t>
        </is>
      </c>
      <c r="DQ160" s="259" t="inlineStr">
        <is>
          <t>1</t>
        </is>
      </c>
      <c r="DR160" s="260" t="inlineStr">
        <is>
          <t>0,37%</t>
        </is>
      </c>
      <c r="DS160" s="261" t="inlineStr">
        <is>
          <t>206</t>
        </is>
      </c>
      <c r="DT160" s="262" t="inlineStr">
        <is>
          <t>0</t>
        </is>
      </c>
      <c r="DU160" s="263" t="inlineStr">
        <is>
          <t>0,00%</t>
        </is>
      </c>
      <c r="DV160" s="264" t="inlineStr">
        <is>
          <t>1.723</t>
        </is>
      </c>
      <c r="DW160" s="265" t="inlineStr">
        <is>
          <t>6</t>
        </is>
      </c>
      <c r="DX160" s="266" t="inlineStr">
        <is>
          <t>0,35%</t>
        </is>
      </c>
      <c r="DY160" s="267" t="inlineStr">
        <is>
          <t>PitchBook Research</t>
        </is>
      </c>
      <c r="DZ160" s="786">
        <f>HYPERLINK("https://my.pitchbook.com?c=57426-67", "View company online")</f>
      </c>
    </row>
    <row r="161">
      <c r="A161" s="9" t="inlineStr">
        <is>
          <t>154280-89</t>
        </is>
      </c>
      <c r="B161" s="10" t="inlineStr">
        <is>
          <t>Kite Power Systems</t>
        </is>
      </c>
      <c r="C161" s="11" t="inlineStr">
        <is>
          <t/>
        </is>
      </c>
      <c r="D161" s="12" t="inlineStr">
        <is>
          <t>KPS</t>
        </is>
      </c>
      <c r="E161" s="13" t="inlineStr">
        <is>
          <t>154280-89</t>
        </is>
      </c>
      <c r="F161" s="14" t="inlineStr">
        <is>
          <t>Provide of a disruptive technology platform designed to produce renewable energy from the wind. The company's disruptive technology platform develops onshore and offshore kite arrays and offers a technology that can be deployed in locations where conventional wind cannot reach, enabling consumers to access renewable energy, reduce dependency on fossil fuels, energy security as well as reduce the impact of climate change.</t>
        </is>
      </c>
      <c r="G161" s="15" t="inlineStr">
        <is>
          <t>Energy</t>
        </is>
      </c>
      <c r="H161" s="16" t="inlineStr">
        <is>
          <t>Exploration, Production and Refining</t>
        </is>
      </c>
      <c r="I161" s="17" t="inlineStr">
        <is>
          <t>Energy Production</t>
        </is>
      </c>
      <c r="J161" s="18" t="inlineStr">
        <is>
          <t>Energy Production*; Alternative Energy Equipment</t>
        </is>
      </c>
      <c r="K161" s="19" t="inlineStr">
        <is>
          <t>CleanTech</t>
        </is>
      </c>
      <c r="L161" s="20" t="inlineStr">
        <is>
          <t>Venture Capital-Backed</t>
        </is>
      </c>
      <c r="M161" s="21" t="n">
        <v>8.12</v>
      </c>
      <c r="N161" s="22" t="inlineStr">
        <is>
          <t>Startup</t>
        </is>
      </c>
      <c r="O161" s="23" t="inlineStr">
        <is>
          <t>Privately Held (backing)</t>
        </is>
      </c>
      <c r="P161" s="24" t="inlineStr">
        <is>
          <t>Venture Capital, M&amp;A</t>
        </is>
      </c>
      <c r="Q161" s="25" t="inlineStr">
        <is>
          <t>www.kitepowersystems.com</t>
        </is>
      </c>
      <c r="R161" s="26" t="n">
        <v>30.0</v>
      </c>
      <c r="S161" s="27" t="inlineStr">
        <is>
          <t/>
        </is>
      </c>
      <c r="T161" s="28" t="inlineStr">
        <is>
          <t/>
        </is>
      </c>
      <c r="U161" s="29" t="n">
        <v>2011.0</v>
      </c>
      <c r="V161" s="30" t="inlineStr">
        <is>
          <t/>
        </is>
      </c>
      <c r="W161" s="31" t="inlineStr">
        <is>
          <t/>
        </is>
      </c>
      <c r="X161" s="32" t="inlineStr">
        <is>
          <t/>
        </is>
      </c>
      <c r="Y161" s="33" t="inlineStr">
        <is>
          <t/>
        </is>
      </c>
      <c r="Z161" s="34" t="inlineStr">
        <is>
          <t/>
        </is>
      </c>
      <c r="AA161" s="35" t="inlineStr">
        <is>
          <t/>
        </is>
      </c>
      <c r="AB161" s="36" t="inlineStr">
        <is>
          <t/>
        </is>
      </c>
      <c r="AC161" s="37" t="inlineStr">
        <is>
          <t/>
        </is>
      </c>
      <c r="AD161" s="38" t="inlineStr">
        <is>
          <t/>
        </is>
      </c>
      <c r="AE161" s="39" t="inlineStr">
        <is>
          <t>128894-59P</t>
        </is>
      </c>
      <c r="AF161" s="40" t="inlineStr">
        <is>
          <t>William Hampton</t>
        </is>
      </c>
      <c r="AG161" s="41" t="inlineStr">
        <is>
          <t>Founder, Board Member &amp; Co-Chief Technology Officer</t>
        </is>
      </c>
      <c r="AH161" s="42" t="inlineStr">
        <is>
          <t>bill.hampton@kitepowersolutions.com</t>
        </is>
      </c>
      <c r="AI161" s="43" t="inlineStr">
        <is>
          <t>+44 (0)14 1465 7633</t>
        </is>
      </c>
      <c r="AJ161" s="44" t="inlineStr">
        <is>
          <t>United Kingdom</t>
        </is>
      </c>
      <c r="AK161" s="45" t="inlineStr">
        <is>
          <t/>
        </is>
      </c>
      <c r="AL161" s="46" t="inlineStr">
        <is>
          <t/>
        </is>
      </c>
      <c r="AM161" s="47" t="inlineStr">
        <is>
          <t/>
        </is>
      </c>
      <c r="AN161" s="48" t="inlineStr">
        <is>
          <t>Scotland</t>
        </is>
      </c>
      <c r="AO161" s="49" t="inlineStr">
        <is>
          <t/>
        </is>
      </c>
      <c r="AP161" s="50" t="inlineStr">
        <is>
          <t>United Kingdom</t>
        </is>
      </c>
      <c r="AQ161" s="51" t="inlineStr">
        <is>
          <t>+44 (0)14 1465 7633</t>
        </is>
      </c>
      <c r="AR161" s="52" t="inlineStr">
        <is>
          <t/>
        </is>
      </c>
      <c r="AS161" s="53" t="inlineStr">
        <is>
          <t>info@kitepowersystems.com</t>
        </is>
      </c>
      <c r="AT161" s="54" t="inlineStr">
        <is>
          <t>Europe</t>
        </is>
      </c>
      <c r="AU161" s="55" t="inlineStr">
        <is>
          <t>Western Europe</t>
        </is>
      </c>
      <c r="AV161" s="56" t="inlineStr">
        <is>
          <t>The company raised GBP 2 million of venture funding from Scottish Enterprise on August 22, 2017, putting the pre-money valuation at GBP 8 million. The company intends to use the funds to further expand and demonstrate the latest iteration of its kite power technology in Scotland.</t>
        </is>
      </c>
      <c r="AW161" s="57" t="inlineStr">
        <is>
          <t>Department for International Trade, Department of Energy and Climate Change, E.ON Strategic Co-Investments, Schlumberger, Scottish Enterprise, Shell Aviation Australia, Shell Technology Ventures</t>
        </is>
      </c>
      <c r="AX161" s="58" t="n">
        <v>7.0</v>
      </c>
      <c r="AY161" s="59" t="inlineStr">
        <is>
          <t/>
        </is>
      </c>
      <c r="AZ161" s="60" t="inlineStr">
        <is>
          <t/>
        </is>
      </c>
      <c r="BA161" s="61" t="inlineStr">
        <is>
          <t/>
        </is>
      </c>
      <c r="BB161" s="62" t="inlineStr">
        <is>
          <t>Department of Energy and Climate Change (www.gov.uk), Schlumberger (www.slb.com), Scottish Enterprise (www.scottish-enterprise.com), Shell Aviation Australia (www.shell.com.au)</t>
        </is>
      </c>
      <c r="BC161" s="63" t="inlineStr">
        <is>
          <t/>
        </is>
      </c>
      <c r="BD161" s="64" t="inlineStr">
        <is>
          <t/>
        </is>
      </c>
      <c r="BE161" s="65" t="inlineStr">
        <is>
          <t/>
        </is>
      </c>
      <c r="BF161" s="66" t="inlineStr">
        <is>
          <t>Memery Crystal (Legal Advisor)</t>
        </is>
      </c>
      <c r="BG161" s="67" t="inlineStr">
        <is>
          <t/>
        </is>
      </c>
      <c r="BH161" s="68" t="n">
        <v>3.0</v>
      </c>
      <c r="BI161" s="69" t="inlineStr">
        <is>
          <t>Actual</t>
        </is>
      </c>
      <c r="BJ161" s="70" t="inlineStr">
        <is>
          <t/>
        </is>
      </c>
      <c r="BK161" s="71" t="inlineStr">
        <is>
          <t/>
        </is>
      </c>
      <c r="BL161" s="72" t="inlineStr">
        <is>
          <t>Corporate</t>
        </is>
      </c>
      <c r="BM161" s="73" t="inlineStr">
        <is>
          <t>Corporate</t>
        </is>
      </c>
      <c r="BN161" s="74" t="inlineStr">
        <is>
          <t/>
        </is>
      </c>
      <c r="BO161" s="75" t="inlineStr">
        <is>
          <t>Corporate</t>
        </is>
      </c>
      <c r="BP161" s="76" t="inlineStr">
        <is>
          <t/>
        </is>
      </c>
      <c r="BQ161" s="77" t="inlineStr">
        <is>
          <t/>
        </is>
      </c>
      <c r="BR161" s="78" t="inlineStr">
        <is>
          <t/>
        </is>
      </c>
      <c r="BS161" s="79" t="inlineStr">
        <is>
          <t>Completed</t>
        </is>
      </c>
      <c r="BT161" s="80" t="n">
        <v>42969.0</v>
      </c>
      <c r="BU161" s="81" t="n">
        <v>2.2</v>
      </c>
      <c r="BV161" s="82" t="inlineStr">
        <is>
          <t>Actual</t>
        </is>
      </c>
      <c r="BW161" s="83" t="n">
        <v>10.98</v>
      </c>
      <c r="BX161" s="84" t="inlineStr">
        <is>
          <t>Actual</t>
        </is>
      </c>
      <c r="BY161" s="85" t="inlineStr">
        <is>
          <t>Later Stage VC</t>
        </is>
      </c>
      <c r="BZ161" s="86" t="inlineStr">
        <is>
          <t/>
        </is>
      </c>
      <c r="CA161" s="87" t="inlineStr">
        <is>
          <t/>
        </is>
      </c>
      <c r="CB161" s="88" t="inlineStr">
        <is>
          <t>Venture Capital</t>
        </is>
      </c>
      <c r="CC161" s="89" t="inlineStr">
        <is>
          <t/>
        </is>
      </c>
      <c r="CD161" s="90" t="inlineStr">
        <is>
          <t/>
        </is>
      </c>
      <c r="CE161" s="91" t="inlineStr">
        <is>
          <t/>
        </is>
      </c>
      <c r="CF161" s="92" t="inlineStr">
        <is>
          <t>Completed</t>
        </is>
      </c>
      <c r="CG161" s="93" t="inlineStr">
        <is>
          <t>1,63%</t>
        </is>
      </c>
      <c r="CH161" s="94" t="inlineStr">
        <is>
          <t>97</t>
        </is>
      </c>
      <c r="CI161" s="95" t="inlineStr">
        <is>
          <t>0,00%</t>
        </is>
      </c>
      <c r="CJ161" s="96" t="inlineStr">
        <is>
          <t>0,00%</t>
        </is>
      </c>
      <c r="CK161" s="97" t="inlineStr">
        <is>
          <t>-0,38%</t>
        </is>
      </c>
      <c r="CL161" s="98" t="inlineStr">
        <is>
          <t>25</t>
        </is>
      </c>
      <c r="CM161" s="99" t="inlineStr">
        <is>
          <t>1,06%</t>
        </is>
      </c>
      <c r="CN161" s="100" t="inlineStr">
        <is>
          <t>96</t>
        </is>
      </c>
      <c r="CO161" s="101" t="inlineStr">
        <is>
          <t>-0,38%</t>
        </is>
      </c>
      <c r="CP161" s="102" t="inlineStr">
        <is>
          <t>35</t>
        </is>
      </c>
      <c r="CQ161" s="103" t="inlineStr">
        <is>
          <t/>
        </is>
      </c>
      <c r="CR161" s="104" t="inlineStr">
        <is>
          <t/>
        </is>
      </c>
      <c r="CS161" s="105" t="inlineStr">
        <is>
          <t/>
        </is>
      </c>
      <c r="CT161" s="106" t="inlineStr">
        <is>
          <t/>
        </is>
      </c>
      <c r="CU161" s="107" t="inlineStr">
        <is>
          <t>1,06%</t>
        </is>
      </c>
      <c r="CV161" s="108" t="inlineStr">
        <is>
          <t>97</t>
        </is>
      </c>
      <c r="CW161" s="109" t="inlineStr">
        <is>
          <t>0,52x</t>
        </is>
      </c>
      <c r="CX161" s="110" t="inlineStr">
        <is>
          <t>34</t>
        </is>
      </c>
      <c r="CY161" s="111" t="inlineStr">
        <is>
          <t>0,00x</t>
        </is>
      </c>
      <c r="CZ161" s="112" t="inlineStr">
        <is>
          <t>-0,80%</t>
        </is>
      </c>
      <c r="DA161" s="113" t="inlineStr">
        <is>
          <t>0,30x</t>
        </is>
      </c>
      <c r="DB161" s="114" t="inlineStr">
        <is>
          <t>24</t>
        </is>
      </c>
      <c r="DC161" s="115" t="inlineStr">
        <is>
          <t>1,16x</t>
        </is>
      </c>
      <c r="DD161" s="116" t="inlineStr">
        <is>
          <t>51</t>
        </is>
      </c>
      <c r="DE161" s="117" t="inlineStr">
        <is>
          <t>0,30x</t>
        </is>
      </c>
      <c r="DF161" s="118" t="inlineStr">
        <is>
          <t>22</t>
        </is>
      </c>
      <c r="DG161" s="119" t="inlineStr">
        <is>
          <t/>
        </is>
      </c>
      <c r="DH161" s="120" t="inlineStr">
        <is>
          <t/>
        </is>
      </c>
      <c r="DI161" s="121" t="inlineStr">
        <is>
          <t/>
        </is>
      </c>
      <c r="DJ161" s="122" t="inlineStr">
        <is>
          <t/>
        </is>
      </c>
      <c r="DK161" s="123" t="inlineStr">
        <is>
          <t>1,16x</t>
        </is>
      </c>
      <c r="DL161" s="124" t="inlineStr">
        <is>
          <t>53</t>
        </is>
      </c>
      <c r="DM161" s="125" t="inlineStr">
        <is>
          <t>118</t>
        </is>
      </c>
      <c r="DN161" s="126" t="inlineStr">
        <is>
          <t>-42</t>
        </is>
      </c>
      <c r="DO161" s="127" t="inlineStr">
        <is>
          <t>-26,25%</t>
        </is>
      </c>
      <c r="DP161" s="128" t="inlineStr">
        <is>
          <t/>
        </is>
      </c>
      <c r="DQ161" s="129" t="inlineStr">
        <is>
          <t/>
        </is>
      </c>
      <c r="DR161" s="130" t="inlineStr">
        <is>
          <t/>
        </is>
      </c>
      <c r="DS161" s="131" t="inlineStr">
        <is>
          <t/>
        </is>
      </c>
      <c r="DT161" s="132" t="inlineStr">
        <is>
          <t/>
        </is>
      </c>
      <c r="DU161" s="133" t="inlineStr">
        <is>
          <t/>
        </is>
      </c>
      <c r="DV161" s="134" t="inlineStr">
        <is>
          <t>433</t>
        </is>
      </c>
      <c r="DW161" s="135" t="inlineStr">
        <is>
          <t>2</t>
        </is>
      </c>
      <c r="DX161" s="136" t="inlineStr">
        <is>
          <t>0,46%</t>
        </is>
      </c>
      <c r="DY161" s="137" t="inlineStr">
        <is>
          <t>PitchBook Research</t>
        </is>
      </c>
      <c r="DZ161" s="785">
        <f>HYPERLINK("https://my.pitchbook.com?c=154280-89", "View company online")</f>
      </c>
    </row>
    <row r="162">
      <c r="A162" s="139" t="inlineStr">
        <is>
          <t>100654-48</t>
        </is>
      </c>
      <c r="B162" s="140" t="inlineStr">
        <is>
          <t>PLD Space</t>
        </is>
      </c>
      <c r="C162" s="141" t="inlineStr">
        <is>
          <t/>
        </is>
      </c>
      <c r="D162" s="142" t="inlineStr">
        <is>
          <t/>
        </is>
      </c>
      <c r="E162" s="143" t="inlineStr">
        <is>
          <t>100654-48</t>
        </is>
      </c>
      <c r="F162" s="144" t="inlineStr">
        <is>
          <t>Developer of advanced space propulsion technologies intended to provide suborbital and orbital commercial launch services. The company's advanced space propulsion technologies specializes in the development of rocket propulsion and defense technologies and satellites with a focus on liquid rocket engines, enabling small and reusable launchers in Europe to develop liquid rocket engines.</t>
        </is>
      </c>
      <c r="G162" s="145" t="inlineStr">
        <is>
          <t>Business Products and Services (B2B)</t>
        </is>
      </c>
      <c r="H162" s="146" t="inlineStr">
        <is>
          <t>Commercial Products</t>
        </is>
      </c>
      <c r="I162" s="147" t="inlineStr">
        <is>
          <t>Aerospace and Defense</t>
        </is>
      </c>
      <c r="J162" s="148" t="inlineStr">
        <is>
          <t>Aerospace and Defense*; Other Commercial Products</t>
        </is>
      </c>
      <c r="K162" s="149" t="inlineStr">
        <is>
          <t>Space Technology</t>
        </is>
      </c>
      <c r="L162" s="150" t="inlineStr">
        <is>
          <t>Venture Capital-Backed</t>
        </is>
      </c>
      <c r="M162" s="151" t="n">
        <v>7.7</v>
      </c>
      <c r="N162" s="152" t="inlineStr">
        <is>
          <t>Generating Revenue</t>
        </is>
      </c>
      <c r="O162" s="153" t="inlineStr">
        <is>
          <t>Privately Held (backing)</t>
        </is>
      </c>
      <c r="P162" s="154" t="inlineStr">
        <is>
          <t>Venture Capital</t>
        </is>
      </c>
      <c r="Q162" s="155" t="inlineStr">
        <is>
          <t>www.pldspace.com</t>
        </is>
      </c>
      <c r="R162" s="156" t="n">
        <v>11.0</v>
      </c>
      <c r="S162" s="157" t="inlineStr">
        <is>
          <t/>
        </is>
      </c>
      <c r="T162" s="158" t="inlineStr">
        <is>
          <t/>
        </is>
      </c>
      <c r="U162" s="159" t="n">
        <v>2011.0</v>
      </c>
      <c r="V162" s="160" t="inlineStr">
        <is>
          <t/>
        </is>
      </c>
      <c r="W162" s="161" t="inlineStr">
        <is>
          <t/>
        </is>
      </c>
      <c r="X162" s="162" t="inlineStr">
        <is>
          <t/>
        </is>
      </c>
      <c r="Y162" s="163" t="n">
        <v>127.40029</v>
      </c>
      <c r="Z162" s="164" t="inlineStr">
        <is>
          <t/>
        </is>
      </c>
      <c r="AA162" s="165" t="inlineStr">
        <is>
          <t/>
        </is>
      </c>
      <c r="AB162" s="166" t="inlineStr">
        <is>
          <t/>
        </is>
      </c>
      <c r="AC162" s="167" t="inlineStr">
        <is>
          <t/>
        </is>
      </c>
      <c r="AD162" s="168" t="inlineStr">
        <is>
          <t>FY 2015</t>
        </is>
      </c>
      <c r="AE162" s="169" t="inlineStr">
        <is>
          <t>93036-43P</t>
        </is>
      </c>
      <c r="AF162" s="170" t="inlineStr">
        <is>
          <t>Raúl Torres Berenguer</t>
        </is>
      </c>
      <c r="AG162" s="171" t="inlineStr">
        <is>
          <t>Chief Executive Officer, Space Technical Officer &amp; Co-Founder</t>
        </is>
      </c>
      <c r="AH162" s="172" t="inlineStr">
        <is>
          <t>raul.torres@pldspace.com</t>
        </is>
      </c>
      <c r="AI162" s="173" t="inlineStr">
        <is>
          <t>+34 96 506 3139</t>
        </is>
      </c>
      <c r="AJ162" s="174" t="inlineStr">
        <is>
          <t>Elche, Spain</t>
        </is>
      </c>
      <c r="AK162" s="175" t="inlineStr">
        <is>
          <t>Nicolás Copérnico 7</t>
        </is>
      </c>
      <c r="AL162" s="176" t="inlineStr">
        <is>
          <t>Parque Empresarial de Elche, Alicante</t>
        </is>
      </c>
      <c r="AM162" s="177" t="inlineStr">
        <is>
          <t>Elche</t>
        </is>
      </c>
      <c r="AN162" s="178" t="inlineStr">
        <is>
          <t/>
        </is>
      </c>
      <c r="AO162" s="179" t="inlineStr">
        <is>
          <t>03203</t>
        </is>
      </c>
      <c r="AP162" s="180" t="inlineStr">
        <is>
          <t>Spain</t>
        </is>
      </c>
      <c r="AQ162" s="181" t="inlineStr">
        <is>
          <t>+34 96 506 3139</t>
        </is>
      </c>
      <c r="AR162" s="182" t="inlineStr">
        <is>
          <t/>
        </is>
      </c>
      <c r="AS162" s="183" t="inlineStr">
        <is>
          <t>contact@pldspace.com</t>
        </is>
      </c>
      <c r="AT162" s="184" t="inlineStr">
        <is>
          <t>Europe</t>
        </is>
      </c>
      <c r="AU162" s="185" t="inlineStr">
        <is>
          <t>Southern Europe</t>
        </is>
      </c>
      <c r="AV162" s="186" t="inlineStr">
        <is>
          <t>The company is planning to raise EUR 20 million of Series A2 venture funding as of January 11, 2017. Previously, the company raised EUR 6.7 million of Series A venture funding in a deal led by GMV on January 9, 2017. Centre for Industrial Technological Development, el Instituto Valenciano de Finanzas, Sepides Gestión, European Union Agency for Network and Information Security and Horizon 2020 also participated in the round. It also received $1.56 million of grant funding from Centre for Industrial Technological Development on April 8, 2016. The company is actively tracked by PitchBook.</t>
        </is>
      </c>
      <c r="AW162" s="187" t="inlineStr">
        <is>
          <t>Caixa Capital Risc, Centre for Industrial Technological Development, el Instituto Valenciano de Finanzas, European Union Agency for Network and Information Security, GMV, Gonzalo de la Peña Cifuentes, Horizon 2020, Sepides Gestión, Teresa Álvarez, Tonia Salinas</t>
        </is>
      </c>
      <c r="AX162" s="188" t="n">
        <v>10.0</v>
      </c>
      <c r="AY162" s="189" t="inlineStr">
        <is>
          <t/>
        </is>
      </c>
      <c r="AZ162" s="190" t="inlineStr">
        <is>
          <t/>
        </is>
      </c>
      <c r="BA162" s="191" t="inlineStr">
        <is>
          <t/>
        </is>
      </c>
      <c r="BB162" s="192" t="inlineStr">
        <is>
          <t>Caixa Capital Risc (www.caixacapitalrisc.es), Centre for Industrial Technological Development (www.cdti.es), el Instituto Valenciano de Finanzas (prestamos.ivf.es), European Union Agency for Network and Information Security (www.enisa.europa.eu), GMV (www.gmv.com), Sepides Gestión (www.sepidesgestion.es)</t>
        </is>
      </c>
      <c r="BC162" s="193" t="inlineStr">
        <is>
          <t/>
        </is>
      </c>
      <c r="BD162" s="194" t="inlineStr">
        <is>
          <t/>
        </is>
      </c>
      <c r="BE162" s="195" t="inlineStr">
        <is>
          <t>Rousaud Costas Duran (Legal Advisor)</t>
        </is>
      </c>
      <c r="BF162" s="196" t="inlineStr">
        <is>
          <t>Rousaud Costas Duran (Legal Advisor)</t>
        </is>
      </c>
      <c r="BG162" s="197" t="n">
        <v>41426.0</v>
      </c>
      <c r="BH162" s="198" t="n">
        <v>1.0</v>
      </c>
      <c r="BI162" s="199" t="inlineStr">
        <is>
          <t>Actual</t>
        </is>
      </c>
      <c r="BJ162" s="200" t="inlineStr">
        <is>
          <t/>
        </is>
      </c>
      <c r="BK162" s="201" t="inlineStr">
        <is>
          <t/>
        </is>
      </c>
      <c r="BL162" s="202" t="inlineStr">
        <is>
          <t>Seed Round</t>
        </is>
      </c>
      <c r="BM162" s="203" t="inlineStr">
        <is>
          <t>Seed</t>
        </is>
      </c>
      <c r="BN162" s="204" t="inlineStr">
        <is>
          <t/>
        </is>
      </c>
      <c r="BO162" s="205" t="inlineStr">
        <is>
          <t>Venture Capital</t>
        </is>
      </c>
      <c r="BP162" s="206" t="inlineStr">
        <is>
          <t/>
        </is>
      </c>
      <c r="BQ162" s="207" t="inlineStr">
        <is>
          <t/>
        </is>
      </c>
      <c r="BR162" s="208" t="inlineStr">
        <is>
          <t/>
        </is>
      </c>
      <c r="BS162" s="209" t="inlineStr">
        <is>
          <t>Completed</t>
        </is>
      </c>
      <c r="BT162" s="210" t="inlineStr">
        <is>
          <t/>
        </is>
      </c>
      <c r="BU162" s="211" t="n">
        <v>20.0</v>
      </c>
      <c r="BV162" s="212" t="inlineStr">
        <is>
          <t>Actual</t>
        </is>
      </c>
      <c r="BW162" s="213" t="inlineStr">
        <is>
          <t/>
        </is>
      </c>
      <c r="BX162" s="214" t="inlineStr">
        <is>
          <t/>
        </is>
      </c>
      <c r="BY162" s="215" t="inlineStr">
        <is>
          <t>Later Stage VC</t>
        </is>
      </c>
      <c r="BZ162" s="216" t="inlineStr">
        <is>
          <t>Series A1</t>
        </is>
      </c>
      <c r="CA162" s="217" t="inlineStr">
        <is>
          <t/>
        </is>
      </c>
      <c r="CB162" s="218" t="inlineStr">
        <is>
          <t>Venture Capital</t>
        </is>
      </c>
      <c r="CC162" s="219" t="inlineStr">
        <is>
          <t/>
        </is>
      </c>
      <c r="CD162" s="220" t="inlineStr">
        <is>
          <t/>
        </is>
      </c>
      <c r="CE162" s="221" t="inlineStr">
        <is>
          <t/>
        </is>
      </c>
      <c r="CF162" s="222" t="inlineStr">
        <is>
          <t>Upcoming</t>
        </is>
      </c>
      <c r="CG162" s="223" t="inlineStr">
        <is>
          <t>0,50%</t>
        </is>
      </c>
      <c r="CH162" s="224" t="inlineStr">
        <is>
          <t>92</t>
        </is>
      </c>
      <c r="CI162" s="225" t="inlineStr">
        <is>
          <t>0,22%</t>
        </is>
      </c>
      <c r="CJ162" s="226" t="inlineStr">
        <is>
          <t>78,56%</t>
        </is>
      </c>
      <c r="CK162" s="227" t="inlineStr">
        <is>
          <t>0,30%</t>
        </is>
      </c>
      <c r="CL162" s="228" t="inlineStr">
        <is>
          <t>92</t>
        </is>
      </c>
      <c r="CM162" s="229" t="inlineStr">
        <is>
          <t>0,69%</t>
        </is>
      </c>
      <c r="CN162" s="230" t="inlineStr">
        <is>
          <t>93</t>
        </is>
      </c>
      <c r="CO162" s="231" t="inlineStr">
        <is>
          <t>-0,01%</t>
        </is>
      </c>
      <c r="CP162" s="232" t="inlineStr">
        <is>
          <t>37</t>
        </is>
      </c>
      <c r="CQ162" s="233" t="inlineStr">
        <is>
          <t>0,60%</t>
        </is>
      </c>
      <c r="CR162" s="234" t="inlineStr">
        <is>
          <t>92</t>
        </is>
      </c>
      <c r="CS162" s="235" t="inlineStr">
        <is>
          <t>0,75%</t>
        </is>
      </c>
      <c r="CT162" s="236" t="inlineStr">
        <is>
          <t>92</t>
        </is>
      </c>
      <c r="CU162" s="237" t="inlineStr">
        <is>
          <t>0,64%</t>
        </is>
      </c>
      <c r="CV162" s="238" t="inlineStr">
        <is>
          <t>93</t>
        </is>
      </c>
      <c r="CW162" s="239" t="inlineStr">
        <is>
          <t>4,08x</t>
        </is>
      </c>
      <c r="CX162" s="240" t="inlineStr">
        <is>
          <t>77</t>
        </is>
      </c>
      <c r="CY162" s="241" t="inlineStr">
        <is>
          <t>0,07x</t>
        </is>
      </c>
      <c r="CZ162" s="242" t="inlineStr">
        <is>
          <t>1,64%</t>
        </is>
      </c>
      <c r="DA162" s="243" t="inlineStr">
        <is>
          <t>1,95x</t>
        </is>
      </c>
      <c r="DB162" s="244" t="inlineStr">
        <is>
          <t>66</t>
        </is>
      </c>
      <c r="DC162" s="245" t="inlineStr">
        <is>
          <t>6,21x</t>
        </is>
      </c>
      <c r="DD162" s="246" t="inlineStr">
        <is>
          <t>79</t>
        </is>
      </c>
      <c r="DE162" s="247" t="inlineStr">
        <is>
          <t>0,29x</t>
        </is>
      </c>
      <c r="DF162" s="248" t="inlineStr">
        <is>
          <t>21</t>
        </is>
      </c>
      <c r="DG162" s="249" t="inlineStr">
        <is>
          <t>3,61x</t>
        </is>
      </c>
      <c r="DH162" s="250" t="inlineStr">
        <is>
          <t>75</t>
        </is>
      </c>
      <c r="DI162" s="251" t="inlineStr">
        <is>
          <t>2,39x</t>
        </is>
      </c>
      <c r="DJ162" s="252" t="inlineStr">
        <is>
          <t>65</t>
        </is>
      </c>
      <c r="DK162" s="253" t="inlineStr">
        <is>
          <t>10,04x</t>
        </is>
      </c>
      <c r="DL162" s="254" t="inlineStr">
        <is>
          <t>87</t>
        </is>
      </c>
      <c r="DM162" s="255" t="inlineStr">
        <is>
          <t>110</t>
        </is>
      </c>
      <c r="DN162" s="256" t="inlineStr">
        <is>
          <t>-6</t>
        </is>
      </c>
      <c r="DO162" s="257" t="inlineStr">
        <is>
          <t>-5,17%</t>
        </is>
      </c>
      <c r="DP162" s="258" t="inlineStr">
        <is>
          <t>1.864</t>
        </is>
      </c>
      <c r="DQ162" s="259" t="inlineStr">
        <is>
          <t>47</t>
        </is>
      </c>
      <c r="DR162" s="260" t="inlineStr">
        <is>
          <t>2,59%</t>
        </is>
      </c>
      <c r="DS162" s="261" t="inlineStr">
        <is>
          <t>129</t>
        </is>
      </c>
      <c r="DT162" s="262" t="inlineStr">
        <is>
          <t>1</t>
        </is>
      </c>
      <c r="DU162" s="263" t="inlineStr">
        <is>
          <t>0,78%</t>
        </is>
      </c>
      <c r="DV162" s="264" t="inlineStr">
        <is>
          <t>3.722</t>
        </is>
      </c>
      <c r="DW162" s="265" t="inlineStr">
        <is>
          <t>87</t>
        </is>
      </c>
      <c r="DX162" s="266" t="inlineStr">
        <is>
          <t>2,39%</t>
        </is>
      </c>
      <c r="DY162" s="267" t="inlineStr">
        <is>
          <t>PitchBook Research</t>
        </is>
      </c>
      <c r="DZ162" s="786">
        <f>HYPERLINK("https://my.pitchbook.com?c=100654-48", "View company online")</f>
      </c>
    </row>
    <row r="163">
      <c r="A163" s="9" t="inlineStr">
        <is>
          <t>61099-84</t>
        </is>
      </c>
      <c r="B163" s="10" t="inlineStr">
        <is>
          <t>Lending Works</t>
        </is>
      </c>
      <c r="C163" s="11" t="inlineStr">
        <is>
          <t/>
        </is>
      </c>
      <c r="D163" s="12" t="inlineStr">
        <is>
          <t/>
        </is>
      </c>
      <c r="E163" s="13" t="inlineStr">
        <is>
          <t>61099-84</t>
        </is>
      </c>
      <c r="F163" s="14" t="inlineStr">
        <is>
          <t>Provider of a peer-to-peer lending platform. The company allows lenders to receive higher returns on investments in comparison to a traditional bank whilst borrowers secure funding more cheaply.</t>
        </is>
      </c>
      <c r="G163" s="15" t="inlineStr">
        <is>
          <t>Information Technology</t>
        </is>
      </c>
      <c r="H163" s="16" t="inlineStr">
        <is>
          <t>Software</t>
        </is>
      </c>
      <c r="I163" s="17" t="inlineStr">
        <is>
          <t>Financial Software</t>
        </is>
      </c>
      <c r="J163" s="18" t="inlineStr">
        <is>
          <t>Financial Software*; Social/Platform Software</t>
        </is>
      </c>
      <c r="K163" s="19" t="inlineStr">
        <is>
          <t>FinTech</t>
        </is>
      </c>
      <c r="L163" s="20" t="inlineStr">
        <is>
          <t>Venture Capital-Backed</t>
        </is>
      </c>
      <c r="M163" s="21" t="n">
        <v>7.58</v>
      </c>
      <c r="N163" s="22" t="inlineStr">
        <is>
          <t>Product Development</t>
        </is>
      </c>
      <c r="O163" s="23" t="inlineStr">
        <is>
          <t>Privately Held (backing)</t>
        </is>
      </c>
      <c r="P163" s="24" t="inlineStr">
        <is>
          <t>Venture Capital</t>
        </is>
      </c>
      <c r="Q163" s="25" t="inlineStr">
        <is>
          <t>www.lendingworks.co.uk</t>
        </is>
      </c>
      <c r="R163" s="26" t="n">
        <v>22.0</v>
      </c>
      <c r="S163" s="27" t="inlineStr">
        <is>
          <t/>
        </is>
      </c>
      <c r="T163" s="28" t="inlineStr">
        <is>
          <t/>
        </is>
      </c>
      <c r="U163" s="29" t="n">
        <v>2012.0</v>
      </c>
      <c r="V163" s="30" t="inlineStr">
        <is>
          <t/>
        </is>
      </c>
      <c r="W163" s="31" t="inlineStr">
        <is>
          <t/>
        </is>
      </c>
      <c r="X163" s="32" t="inlineStr">
        <is>
          <r>
            <rPr>
              <b/>
              <color rgb="ff26854d"/>
              <rFont val="Arial"/>
              <sz val="8.0"/>
            </rPr>
            <t>News</t>
          </r>
          <r>
            <rPr>
              <color rgb="ff707070"/>
              <rFont val="Arial"/>
              <sz val="7.0"/>
            </rPr>
            <t xml:space="preserve"> NEW  </t>
          </r>
        </is>
      </c>
      <c r="Y163" s="33" t="inlineStr">
        <is>
          <t/>
        </is>
      </c>
      <c r="Z163" s="34" t="inlineStr">
        <is>
          <t/>
        </is>
      </c>
      <c r="AA163" s="35" t="inlineStr">
        <is>
          <t/>
        </is>
      </c>
      <c r="AB163" s="36" t="inlineStr">
        <is>
          <t/>
        </is>
      </c>
      <c r="AC163" s="37" t="inlineStr">
        <is>
          <t/>
        </is>
      </c>
      <c r="AD163" s="38" t="inlineStr">
        <is>
          <t/>
        </is>
      </c>
      <c r="AE163" s="39" t="inlineStr">
        <is>
          <t>95813-74P</t>
        </is>
      </c>
      <c r="AF163" s="40" t="inlineStr">
        <is>
          <t>Nicholas Harding</t>
        </is>
      </c>
      <c r="AG163" s="41" t="inlineStr">
        <is>
          <t>Co-Founder, Board Member, Chief Executive Officer &amp; Executive Director</t>
        </is>
      </c>
      <c r="AH163" s="42" t="inlineStr">
        <is>
          <t>nicholase.harding@lendingworks.co.uk</t>
        </is>
      </c>
      <c r="AI163" s="43" t="inlineStr">
        <is>
          <t>+44 (0)20 7096 8512</t>
        </is>
      </c>
      <c r="AJ163" s="44" t="inlineStr">
        <is>
          <t>London, United Kingdom</t>
        </is>
      </c>
      <c r="AK163" s="45" t="inlineStr">
        <is>
          <t>60 Gray's Inn Road</t>
        </is>
      </c>
      <c r="AL163" s="46" t="inlineStr">
        <is>
          <t/>
        </is>
      </c>
      <c r="AM163" s="47" t="inlineStr">
        <is>
          <t>London</t>
        </is>
      </c>
      <c r="AN163" s="48" t="inlineStr">
        <is>
          <t>England</t>
        </is>
      </c>
      <c r="AO163" s="49" t="inlineStr">
        <is>
          <t>WC1X 8AQ</t>
        </is>
      </c>
      <c r="AP163" s="50" t="inlineStr">
        <is>
          <t>United Kingdom</t>
        </is>
      </c>
      <c r="AQ163" s="51" t="inlineStr">
        <is>
          <t>+44 (0)20 7096 8512</t>
        </is>
      </c>
      <c r="AR163" s="52" t="inlineStr">
        <is>
          <t/>
        </is>
      </c>
      <c r="AS163" s="53" t="inlineStr">
        <is>
          <t/>
        </is>
      </c>
      <c r="AT163" s="54" t="inlineStr">
        <is>
          <t>Europe</t>
        </is>
      </c>
      <c r="AU163" s="55" t="inlineStr">
        <is>
          <t>Western Europe</t>
        </is>
      </c>
      <c r="AV163" s="56" t="inlineStr">
        <is>
          <t>The company raised GBP 2.96 million of Series A venture funding from lead investor NVM Private Equity in early June 2016, putting the pre-money valuation at GBP 8.21 million. Other undisclosed investors also participated in the round. The company will use funds for business scalability, risk and business development.</t>
        </is>
      </c>
      <c r="AW163" s="57" t="inlineStr">
        <is>
          <t>NVM Private Equity</t>
        </is>
      </c>
      <c r="AX163" s="58" t="n">
        <v>1.0</v>
      </c>
      <c r="AY163" s="59" t="inlineStr">
        <is>
          <t/>
        </is>
      </c>
      <c r="AZ163" s="60" t="inlineStr">
        <is>
          <t/>
        </is>
      </c>
      <c r="BA163" s="61" t="inlineStr">
        <is>
          <t/>
        </is>
      </c>
      <c r="BB163" s="62" t="inlineStr">
        <is>
          <t>NVM Private Equity (www.nvm.co.uk)</t>
        </is>
      </c>
      <c r="BC163" s="63" t="inlineStr">
        <is>
          <t/>
        </is>
      </c>
      <c r="BD163" s="64" t="inlineStr">
        <is>
          <t/>
        </is>
      </c>
      <c r="BE163" s="65" t="inlineStr">
        <is>
          <t/>
        </is>
      </c>
      <c r="BF163" s="66" t="inlineStr">
        <is>
          <t/>
        </is>
      </c>
      <c r="BG163" s="67" t="n">
        <v>41640.0</v>
      </c>
      <c r="BH163" s="68" t="n">
        <v>4.23</v>
      </c>
      <c r="BI163" s="69" t="inlineStr">
        <is>
          <t>Actual</t>
        </is>
      </c>
      <c r="BJ163" s="70" t="inlineStr">
        <is>
          <t/>
        </is>
      </c>
      <c r="BK163" s="71" t="inlineStr">
        <is>
          <t/>
        </is>
      </c>
      <c r="BL163" s="72" t="inlineStr">
        <is>
          <t>Seed Round</t>
        </is>
      </c>
      <c r="BM163" s="73" t="inlineStr">
        <is>
          <t>Seed</t>
        </is>
      </c>
      <c r="BN163" s="74" t="inlineStr">
        <is>
          <t/>
        </is>
      </c>
      <c r="BO163" s="75" t="inlineStr">
        <is>
          <t>Venture Capital</t>
        </is>
      </c>
      <c r="BP163" s="76" t="inlineStr">
        <is>
          <t/>
        </is>
      </c>
      <c r="BQ163" s="77" t="inlineStr">
        <is>
          <t/>
        </is>
      </c>
      <c r="BR163" s="78" t="inlineStr">
        <is>
          <t/>
        </is>
      </c>
      <c r="BS163" s="79" t="inlineStr">
        <is>
          <t>Completed</t>
        </is>
      </c>
      <c r="BT163" s="80" t="n">
        <v>42943.0</v>
      </c>
      <c r="BU163" s="81" t="n">
        <v>3.35</v>
      </c>
      <c r="BV163" s="82" t="inlineStr">
        <is>
          <t>Actual</t>
        </is>
      </c>
      <c r="BW163" s="83" t="n">
        <v>12.62</v>
      </c>
      <c r="BX163" s="84" t="inlineStr">
        <is>
          <t>Actual</t>
        </is>
      </c>
      <c r="BY163" s="85" t="inlineStr">
        <is>
          <t>Later Stage VC</t>
        </is>
      </c>
      <c r="BZ163" s="86" t="inlineStr">
        <is>
          <t/>
        </is>
      </c>
      <c r="CA163" s="87" t="inlineStr">
        <is>
          <t/>
        </is>
      </c>
      <c r="CB163" s="88" t="inlineStr">
        <is>
          <t>Venture Capital</t>
        </is>
      </c>
      <c r="CC163" s="89" t="inlineStr">
        <is>
          <t/>
        </is>
      </c>
      <c r="CD163" s="90" t="inlineStr">
        <is>
          <t/>
        </is>
      </c>
      <c r="CE163" s="91" t="inlineStr">
        <is>
          <t/>
        </is>
      </c>
      <c r="CF163" s="92" t="inlineStr">
        <is>
          <t>Completed</t>
        </is>
      </c>
      <c r="CG163" s="93" t="inlineStr">
        <is>
          <t>-4,12%</t>
        </is>
      </c>
      <c r="CH163" s="94" t="inlineStr">
        <is>
          <t>5</t>
        </is>
      </c>
      <c r="CI163" s="95" t="inlineStr">
        <is>
          <t>-0,05%</t>
        </is>
      </c>
      <c r="CJ163" s="96" t="inlineStr">
        <is>
          <t>-1,30%</t>
        </is>
      </c>
      <c r="CK163" s="97" t="inlineStr">
        <is>
          <t>-8,87%</t>
        </is>
      </c>
      <c r="CL163" s="98" t="inlineStr">
        <is>
          <t>4</t>
        </is>
      </c>
      <c r="CM163" s="99" t="inlineStr">
        <is>
          <t>0,62%</t>
        </is>
      </c>
      <c r="CN163" s="100" t="inlineStr">
        <is>
          <t>92</t>
        </is>
      </c>
      <c r="CO163" s="101" t="inlineStr">
        <is>
          <t>-20,05%</t>
        </is>
      </c>
      <c r="CP163" s="102" t="inlineStr">
        <is>
          <t>5</t>
        </is>
      </c>
      <c r="CQ163" s="103" t="inlineStr">
        <is>
          <t>2,32%</t>
        </is>
      </c>
      <c r="CR163" s="104" t="inlineStr">
        <is>
          <t>96</t>
        </is>
      </c>
      <c r="CS163" s="105" t="inlineStr">
        <is>
          <t>1,00%</t>
        </is>
      </c>
      <c r="CT163" s="106" t="inlineStr">
        <is>
          <t>94</t>
        </is>
      </c>
      <c r="CU163" s="107" t="inlineStr">
        <is>
          <t>0,23%</t>
        </is>
      </c>
      <c r="CV163" s="108" t="inlineStr">
        <is>
          <t>79</t>
        </is>
      </c>
      <c r="CW163" s="109" t="inlineStr">
        <is>
          <t>6,96x</t>
        </is>
      </c>
      <c r="CX163" s="110" t="inlineStr">
        <is>
          <t>84</t>
        </is>
      </c>
      <c r="CY163" s="111" t="inlineStr">
        <is>
          <t>0,10x</t>
        </is>
      </c>
      <c r="CZ163" s="112" t="inlineStr">
        <is>
          <t>1,39%</t>
        </is>
      </c>
      <c r="DA163" s="113" t="inlineStr">
        <is>
          <t>10,94x</t>
        </is>
      </c>
      <c r="DB163" s="114" t="inlineStr">
        <is>
          <t>90</t>
        </is>
      </c>
      <c r="DC163" s="115" t="inlineStr">
        <is>
          <t>2,98x</t>
        </is>
      </c>
      <c r="DD163" s="116" t="inlineStr">
        <is>
          <t>69</t>
        </is>
      </c>
      <c r="DE163" s="117" t="inlineStr">
        <is>
          <t>0,66x</t>
        </is>
      </c>
      <c r="DF163" s="118" t="inlineStr">
        <is>
          <t>40</t>
        </is>
      </c>
      <c r="DG163" s="119" t="inlineStr">
        <is>
          <t>21,22x</t>
        </is>
      </c>
      <c r="DH163" s="120" t="inlineStr">
        <is>
          <t>93</t>
        </is>
      </c>
      <c r="DI163" s="121" t="inlineStr">
        <is>
          <t>0,55x</t>
        </is>
      </c>
      <c r="DJ163" s="122" t="inlineStr">
        <is>
          <t>40</t>
        </is>
      </c>
      <c r="DK163" s="123" t="inlineStr">
        <is>
          <t>5,41x</t>
        </is>
      </c>
      <c r="DL163" s="124" t="inlineStr">
        <is>
          <t>80</t>
        </is>
      </c>
      <c r="DM163" s="125" t="inlineStr">
        <is>
          <t>240</t>
        </is>
      </c>
      <c r="DN163" s="126" t="inlineStr">
        <is>
          <t>22</t>
        </is>
      </c>
      <c r="DO163" s="127" t="inlineStr">
        <is>
          <t>10,09%</t>
        </is>
      </c>
      <c r="DP163" s="128" t="inlineStr">
        <is>
          <t>432</t>
        </is>
      </c>
      <c r="DQ163" s="129" t="inlineStr">
        <is>
          <t>2</t>
        </is>
      </c>
      <c r="DR163" s="130" t="inlineStr">
        <is>
          <t>0,47%</t>
        </is>
      </c>
      <c r="DS163" s="131" t="inlineStr">
        <is>
          <t>757</t>
        </is>
      </c>
      <c r="DT163" s="132" t="inlineStr">
        <is>
          <t>16</t>
        </is>
      </c>
      <c r="DU163" s="133" t="inlineStr">
        <is>
          <t>2,16%</t>
        </is>
      </c>
      <c r="DV163" s="134" t="inlineStr">
        <is>
          <t>2.024</t>
        </is>
      </c>
      <c r="DW163" s="135" t="inlineStr">
        <is>
          <t>0</t>
        </is>
      </c>
      <c r="DX163" s="136" t="inlineStr">
        <is>
          <t>0,00%</t>
        </is>
      </c>
      <c r="DY163" s="137" t="inlineStr">
        <is>
          <t>PitchBook Research</t>
        </is>
      </c>
      <c r="DZ163" s="785">
        <f>HYPERLINK("https://my.pitchbook.com?c=61099-84", "View company online")</f>
      </c>
    </row>
    <row r="164">
      <c r="A164" s="139" t="inlineStr">
        <is>
          <t>56697-13</t>
        </is>
      </c>
      <c r="B164" s="140" t="inlineStr">
        <is>
          <t>CardioSecur</t>
        </is>
      </c>
      <c r="C164" s="141" t="inlineStr">
        <is>
          <t/>
        </is>
      </c>
      <c r="D164" s="142" t="inlineStr">
        <is>
          <t/>
        </is>
      </c>
      <c r="E164" s="143" t="inlineStr">
        <is>
          <t>56697-13</t>
        </is>
      </c>
      <c r="F164" s="144" t="inlineStr">
        <is>
          <t>Developer of a smartphone-based personalized ECG application created to offer cardiac monitoring services. The company's smartphone-based personalized ECG application comes with a set of electrodes that a user can apply to his chest with little assistance and power with a cord connecting to the smartphone, enabling both patients to receive a recommendation on what to do next in less than a minute, and also has the option of sharing ECG data with his or her personal physician for further use.</t>
        </is>
      </c>
      <c r="G164" s="145" t="inlineStr">
        <is>
          <t>Healthcare</t>
        </is>
      </c>
      <c r="H164" s="146" t="inlineStr">
        <is>
          <t>Healthcare Devices and Supplies</t>
        </is>
      </c>
      <c r="I164" s="147" t="inlineStr">
        <is>
          <t>Monitoring Equipment</t>
        </is>
      </c>
      <c r="J164" s="148" t="inlineStr">
        <is>
          <t>Monitoring Equipment*; Other Healthcare Services; Application Software</t>
        </is>
      </c>
      <c r="K164" s="149" t="inlineStr">
        <is>
          <t>HealthTech, Mobile</t>
        </is>
      </c>
      <c r="L164" s="150" t="inlineStr">
        <is>
          <t>Venture Capital-Backed</t>
        </is>
      </c>
      <c r="M164" s="151" t="n">
        <v>7.5</v>
      </c>
      <c r="N164" s="152" t="inlineStr">
        <is>
          <t>Generating Revenue</t>
        </is>
      </c>
      <c r="O164" s="153" t="inlineStr">
        <is>
          <t>Privately Held (backing)</t>
        </is>
      </c>
      <c r="P164" s="154" t="inlineStr">
        <is>
          <t>Venture Capital</t>
        </is>
      </c>
      <c r="Q164" s="155" t="inlineStr">
        <is>
          <t>www.cardiosecur.com</t>
        </is>
      </c>
      <c r="R164" s="156" t="n">
        <v>10.0</v>
      </c>
      <c r="S164" s="157" t="inlineStr">
        <is>
          <t/>
        </is>
      </c>
      <c r="T164" s="158" t="inlineStr">
        <is>
          <t/>
        </is>
      </c>
      <c r="U164" s="159" t="n">
        <v>2008.0</v>
      </c>
      <c r="V164" s="160" t="inlineStr">
        <is>
          <t/>
        </is>
      </c>
      <c r="W164" s="161" t="inlineStr">
        <is>
          <t/>
        </is>
      </c>
      <c r="X164" s="162" t="inlineStr">
        <is>
          <t/>
        </is>
      </c>
      <c r="Y164" s="163" t="inlineStr">
        <is>
          <t/>
        </is>
      </c>
      <c r="Z164" s="164" t="inlineStr">
        <is>
          <t/>
        </is>
      </c>
      <c r="AA164" s="165" t="inlineStr">
        <is>
          <t/>
        </is>
      </c>
      <c r="AB164" s="166" t="inlineStr">
        <is>
          <t/>
        </is>
      </c>
      <c r="AC164" s="167" t="inlineStr">
        <is>
          <t/>
        </is>
      </c>
      <c r="AD164" s="168" t="inlineStr">
        <is>
          <t/>
        </is>
      </c>
      <c r="AE164" s="169" t="inlineStr">
        <is>
          <t>54967-33P</t>
        </is>
      </c>
      <c r="AF164" s="170" t="inlineStr">
        <is>
          <t>Felix Brand</t>
        </is>
      </c>
      <c r="AG164" s="171" t="inlineStr">
        <is>
          <t>Co-Founder &amp; Managing Director</t>
        </is>
      </c>
      <c r="AH164" s="172" t="inlineStr">
        <is>
          <t>brand@cardiosecur.com</t>
        </is>
      </c>
      <c r="AI164" s="173" t="inlineStr">
        <is>
          <t>+49 (0)69 9074 7781</t>
        </is>
      </c>
      <c r="AJ164" s="174" t="inlineStr">
        <is>
          <t>Frankfurt, Germany</t>
        </is>
      </c>
      <c r="AK164" s="175" t="inlineStr">
        <is>
          <t>Wilhelm-Leuschner-Straße 41</t>
        </is>
      </c>
      <c r="AL164" s="176" t="inlineStr">
        <is>
          <t/>
        </is>
      </c>
      <c r="AM164" s="177" t="inlineStr">
        <is>
          <t>Frankfurt</t>
        </is>
      </c>
      <c r="AN164" s="178" t="inlineStr">
        <is>
          <t/>
        </is>
      </c>
      <c r="AO164" s="179" t="inlineStr">
        <is>
          <t>60329</t>
        </is>
      </c>
      <c r="AP164" s="180" t="inlineStr">
        <is>
          <t>Germany</t>
        </is>
      </c>
      <c r="AQ164" s="181" t="inlineStr">
        <is>
          <t>+49 (0)15 1217 7326 3</t>
        </is>
      </c>
      <c r="AR164" s="182" t="inlineStr">
        <is>
          <t/>
        </is>
      </c>
      <c r="AS164" s="183" t="inlineStr">
        <is>
          <t>info@cardiosecur.com</t>
        </is>
      </c>
      <c r="AT164" s="184" t="inlineStr">
        <is>
          <t>Europe</t>
        </is>
      </c>
      <c r="AU164" s="185" t="inlineStr">
        <is>
          <t>Western Europe</t>
        </is>
      </c>
      <c r="AV164" s="186" t="inlineStr">
        <is>
          <t>The company raised EUR 5 million of Series B venture funding in a deal led by KPN Ventures on January 24, 2017. High-Tech Gründerfonds, Kreditanstalt Fur Wiederaufbau, Seventure Partners and NRW.Bank also participated in this round. The company intends to use the funds for sales growth and continued innovation on its technology and data platform.</t>
        </is>
      </c>
      <c r="AW164" s="187" t="inlineStr">
        <is>
          <t>German Accelerator, High-Tech Gründerfonds, KfW Bankengruppe, KPN Ventures, NRW.Bank, Seventure Partners</t>
        </is>
      </c>
      <c r="AX164" s="188" t="n">
        <v>6.0</v>
      </c>
      <c r="AY164" s="189" t="inlineStr">
        <is>
          <t/>
        </is>
      </c>
      <c r="AZ164" s="190" t="inlineStr">
        <is>
          <t/>
        </is>
      </c>
      <c r="BA164" s="191" t="inlineStr">
        <is>
          <t/>
        </is>
      </c>
      <c r="BB164" s="192" t="inlineStr">
        <is>
          <t>German Accelerator (www.germanaccelerator.com), High-Tech Gründerfonds (www.high-tech-gruenderfonds.de), KfW Bankengruppe (www.kfw.de), KPN Ventures (www.kpnventures.com), NRW.Bank (www.nrwbank.de), Seventure Partners (www.seventure.fr)</t>
        </is>
      </c>
      <c r="BC164" s="193" t="inlineStr">
        <is>
          <t/>
        </is>
      </c>
      <c r="BD164" s="194" t="inlineStr">
        <is>
          <t/>
        </is>
      </c>
      <c r="BE164" s="195" t="inlineStr">
        <is>
          <t/>
        </is>
      </c>
      <c r="BF164" s="196" t="inlineStr">
        <is>
          <t/>
        </is>
      </c>
      <c r="BG164" s="197" t="n">
        <v>41388.0</v>
      </c>
      <c r="BH164" s="198" t="n">
        <v>2.5</v>
      </c>
      <c r="BI164" s="199" t="inlineStr">
        <is>
          <t>Actual</t>
        </is>
      </c>
      <c r="BJ164" s="200" t="inlineStr">
        <is>
          <t/>
        </is>
      </c>
      <c r="BK164" s="201" t="inlineStr">
        <is>
          <t/>
        </is>
      </c>
      <c r="BL164" s="202" t="inlineStr">
        <is>
          <t>Later Stage VC</t>
        </is>
      </c>
      <c r="BM164" s="203" t="inlineStr">
        <is>
          <t>Series A</t>
        </is>
      </c>
      <c r="BN164" s="204" t="inlineStr">
        <is>
          <t/>
        </is>
      </c>
      <c r="BO164" s="205" t="inlineStr">
        <is>
          <t>Venture Capital</t>
        </is>
      </c>
      <c r="BP164" s="206" t="inlineStr">
        <is>
          <t/>
        </is>
      </c>
      <c r="BQ164" s="207" t="inlineStr">
        <is>
          <t/>
        </is>
      </c>
      <c r="BR164" s="208" t="inlineStr">
        <is>
          <t/>
        </is>
      </c>
      <c r="BS164" s="209" t="inlineStr">
        <is>
          <t>Completed</t>
        </is>
      </c>
      <c r="BT164" s="210" t="n">
        <v>42759.0</v>
      </c>
      <c r="BU164" s="211" t="n">
        <v>5.0</v>
      </c>
      <c r="BV164" s="212" t="inlineStr">
        <is>
          <t>Actual</t>
        </is>
      </c>
      <c r="BW164" s="213" t="inlineStr">
        <is>
          <t/>
        </is>
      </c>
      <c r="BX164" s="214" t="inlineStr">
        <is>
          <t/>
        </is>
      </c>
      <c r="BY164" s="215" t="inlineStr">
        <is>
          <t>Later Stage VC</t>
        </is>
      </c>
      <c r="BZ164" s="216" t="inlineStr">
        <is>
          <t>Series B</t>
        </is>
      </c>
      <c r="CA164" s="217" t="inlineStr">
        <is>
          <t/>
        </is>
      </c>
      <c r="CB164" s="218" t="inlineStr">
        <is>
          <t>Venture Capital</t>
        </is>
      </c>
      <c r="CC164" s="219" t="inlineStr">
        <is>
          <t/>
        </is>
      </c>
      <c r="CD164" s="220" t="inlineStr">
        <is>
          <t/>
        </is>
      </c>
      <c r="CE164" s="221" t="inlineStr">
        <is>
          <t/>
        </is>
      </c>
      <c r="CF164" s="222" t="inlineStr">
        <is>
          <t>Completed</t>
        </is>
      </c>
      <c r="CG164" s="223" t="inlineStr">
        <is>
          <t>-3,55%</t>
        </is>
      </c>
      <c r="CH164" s="224" t="inlineStr">
        <is>
          <t>6</t>
        </is>
      </c>
      <c r="CI164" s="225" t="inlineStr">
        <is>
          <t>0,00%</t>
        </is>
      </c>
      <c r="CJ164" s="226" t="inlineStr">
        <is>
          <t>-0,07%</t>
        </is>
      </c>
      <c r="CK164" s="227" t="inlineStr">
        <is>
          <t>-7,45%</t>
        </is>
      </c>
      <c r="CL164" s="228" t="inlineStr">
        <is>
          <t>5</t>
        </is>
      </c>
      <c r="CM164" s="229" t="inlineStr">
        <is>
          <t>0,36%</t>
        </is>
      </c>
      <c r="CN164" s="230" t="inlineStr">
        <is>
          <t>83</t>
        </is>
      </c>
      <c r="CO164" s="231" t="inlineStr">
        <is>
          <t>-13,16%</t>
        </is>
      </c>
      <c r="CP164" s="232" t="inlineStr">
        <is>
          <t>10</t>
        </is>
      </c>
      <c r="CQ164" s="233" t="inlineStr">
        <is>
          <t>-1,73%</t>
        </is>
      </c>
      <c r="CR164" s="234" t="inlineStr">
        <is>
          <t>4</t>
        </is>
      </c>
      <c r="CS164" s="235" t="inlineStr">
        <is>
          <t>0,64%</t>
        </is>
      </c>
      <c r="CT164" s="236" t="inlineStr">
        <is>
          <t>90</t>
        </is>
      </c>
      <c r="CU164" s="237" t="inlineStr">
        <is>
          <t>0,07%</t>
        </is>
      </c>
      <c r="CV164" s="238" t="inlineStr">
        <is>
          <t>62</t>
        </is>
      </c>
      <c r="CW164" s="239" t="inlineStr">
        <is>
          <t>3,85x</t>
        </is>
      </c>
      <c r="CX164" s="240" t="inlineStr">
        <is>
          <t>76</t>
        </is>
      </c>
      <c r="CY164" s="241" t="inlineStr">
        <is>
          <t>-0,06x</t>
        </is>
      </c>
      <c r="CZ164" s="242" t="inlineStr">
        <is>
          <t>-1,45%</t>
        </is>
      </c>
      <c r="DA164" s="243" t="inlineStr">
        <is>
          <t>5,78x</t>
        </is>
      </c>
      <c r="DB164" s="244" t="inlineStr">
        <is>
          <t>83</t>
        </is>
      </c>
      <c r="DC164" s="245" t="inlineStr">
        <is>
          <t>1,91x</t>
        </is>
      </c>
      <c r="DD164" s="246" t="inlineStr">
        <is>
          <t>61</t>
        </is>
      </c>
      <c r="DE164" s="247" t="inlineStr">
        <is>
          <t>0,34x</t>
        </is>
      </c>
      <c r="DF164" s="248" t="inlineStr">
        <is>
          <t>24</t>
        </is>
      </c>
      <c r="DG164" s="249" t="inlineStr">
        <is>
          <t>11,22x</t>
        </is>
      </c>
      <c r="DH164" s="250" t="inlineStr">
        <is>
          <t>88</t>
        </is>
      </c>
      <c r="DI164" s="251" t="inlineStr">
        <is>
          <t>0,98x</t>
        </is>
      </c>
      <c r="DJ164" s="252" t="inlineStr">
        <is>
          <t>50</t>
        </is>
      </c>
      <c r="DK164" s="253" t="inlineStr">
        <is>
          <t>2,85x</t>
        </is>
      </c>
      <c r="DL164" s="254" t="inlineStr">
        <is>
          <t>70</t>
        </is>
      </c>
      <c r="DM164" s="255" t="inlineStr">
        <is>
          <t>125</t>
        </is>
      </c>
      <c r="DN164" s="256" t="inlineStr">
        <is>
          <t>1</t>
        </is>
      </c>
      <c r="DO164" s="257" t="inlineStr">
        <is>
          <t>0,81%</t>
        </is>
      </c>
      <c r="DP164" s="258" t="inlineStr">
        <is>
          <t>765</t>
        </is>
      </c>
      <c r="DQ164" s="259" t="inlineStr">
        <is>
          <t>14</t>
        </is>
      </c>
      <c r="DR164" s="260" t="inlineStr">
        <is>
          <t>1,86%</t>
        </is>
      </c>
      <c r="DS164" s="261" t="inlineStr">
        <is>
          <t>407</t>
        </is>
      </c>
      <c r="DT164" s="262" t="inlineStr">
        <is>
          <t>-8</t>
        </is>
      </c>
      <c r="DU164" s="263" t="inlineStr">
        <is>
          <t>-1,93%</t>
        </is>
      </c>
      <c r="DV164" s="264" t="inlineStr">
        <is>
          <t>1.063</t>
        </is>
      </c>
      <c r="DW164" s="265" t="inlineStr">
        <is>
          <t>2</t>
        </is>
      </c>
      <c r="DX164" s="266" t="inlineStr">
        <is>
          <t>0,19%</t>
        </is>
      </c>
      <c r="DY164" s="267" t="inlineStr">
        <is>
          <t>PitchBook Research</t>
        </is>
      </c>
      <c r="DZ164" s="786">
        <f>HYPERLINK("https://my.pitchbook.com?c=56697-13", "View company online")</f>
      </c>
    </row>
    <row r="165">
      <c r="A165" s="9" t="inlineStr">
        <is>
          <t>57642-40</t>
        </is>
      </c>
      <c r="B165" s="10" t="inlineStr">
        <is>
          <t>Sorbwater Technology</t>
        </is>
      </c>
      <c r="C165" s="11" t="inlineStr">
        <is>
          <t/>
        </is>
      </c>
      <c r="D165" s="12" t="inlineStr">
        <is>
          <t/>
        </is>
      </c>
      <c r="E165" s="13" t="inlineStr">
        <is>
          <t>57642-40</t>
        </is>
      </c>
      <c r="F165" s="14" t="inlineStr">
        <is>
          <t>Provider of fluids environmental services designed to save groundwater resources and minimize harmful discharge. The company's water treatment technologies purify water and waste water from the oil and gas industry, enabling them to save treatment costs.</t>
        </is>
      </c>
      <c r="G165" s="15" t="inlineStr">
        <is>
          <t>Business Products and Services (B2B)</t>
        </is>
      </c>
      <c r="H165" s="16" t="inlineStr">
        <is>
          <t>Commercial Services</t>
        </is>
      </c>
      <c r="I165" s="17" t="inlineStr">
        <is>
          <t>Environmental Services (B2B)</t>
        </is>
      </c>
      <c r="J165" s="18" t="inlineStr">
        <is>
          <t>Environmental Services (B2B)*; Other Commercial Services</t>
        </is>
      </c>
      <c r="K165" s="19" t="inlineStr">
        <is>
          <t>CleanTech, Infrastructure</t>
        </is>
      </c>
      <c r="L165" s="20" t="inlineStr">
        <is>
          <t>Venture Capital-Backed</t>
        </is>
      </c>
      <c r="M165" s="21" t="n">
        <v>7.45</v>
      </c>
      <c r="N165" s="22" t="inlineStr">
        <is>
          <t>Generating Revenue</t>
        </is>
      </c>
      <c r="O165" s="23" t="inlineStr">
        <is>
          <t>Privately Held (backing)</t>
        </is>
      </c>
      <c r="P165" s="24" t="inlineStr">
        <is>
          <t>Venture Capital</t>
        </is>
      </c>
      <c r="Q165" s="25" t="inlineStr">
        <is>
          <t>www.sorbwater.com</t>
        </is>
      </c>
      <c r="R165" s="26" t="n">
        <v>11.0</v>
      </c>
      <c r="S165" s="27" t="inlineStr">
        <is>
          <t/>
        </is>
      </c>
      <c r="T165" s="28" t="inlineStr">
        <is>
          <t/>
        </is>
      </c>
      <c r="U165" s="29" t="n">
        <v>2007.0</v>
      </c>
      <c r="V165" s="30" t="inlineStr">
        <is>
          <t/>
        </is>
      </c>
      <c r="W165" s="31" t="inlineStr">
        <is>
          <t/>
        </is>
      </c>
      <c r="X165" s="32" t="inlineStr">
        <is>
          <t/>
        </is>
      </c>
      <c r="Y165" s="33" t="n">
        <v>1.65371</v>
      </c>
      <c r="Z165" s="34" t="inlineStr">
        <is>
          <t/>
        </is>
      </c>
      <c r="AA165" s="35" t="n">
        <v>-1.13923</v>
      </c>
      <c r="AB165" s="36" t="inlineStr">
        <is>
          <t/>
        </is>
      </c>
      <c r="AC165" s="37" t="n">
        <v>-0.46855</v>
      </c>
      <c r="AD165" s="38" t="inlineStr">
        <is>
          <t>FY 2015</t>
        </is>
      </c>
      <c r="AE165" s="39" t="inlineStr">
        <is>
          <t>56807-56P</t>
        </is>
      </c>
      <c r="AF165" s="40" t="inlineStr">
        <is>
          <t>Svein Egil Steen</t>
        </is>
      </c>
      <c r="AG165" s="41" t="inlineStr">
        <is>
          <t>Chief Executive Officer</t>
        </is>
      </c>
      <c r="AH165" s="42" t="inlineStr">
        <is>
          <t>ses@sorbwater.com</t>
        </is>
      </c>
      <c r="AI165" s="43" t="inlineStr">
        <is>
          <t>+47 91 54 85 14</t>
        </is>
      </c>
      <c r="AJ165" s="44" t="inlineStr">
        <is>
          <t>Blomsterdalen, Norway</t>
        </is>
      </c>
      <c r="AK165" s="45" t="inlineStr">
        <is>
          <t>Lønningsflaten 22</t>
        </is>
      </c>
      <c r="AL165" s="46" t="inlineStr">
        <is>
          <t/>
        </is>
      </c>
      <c r="AM165" s="47" t="inlineStr">
        <is>
          <t>Blomsterdalen</t>
        </is>
      </c>
      <c r="AN165" s="48" t="inlineStr">
        <is>
          <t/>
        </is>
      </c>
      <c r="AO165" s="49" t="inlineStr">
        <is>
          <t>5258</t>
        </is>
      </c>
      <c r="AP165" s="50" t="inlineStr">
        <is>
          <t>Norway</t>
        </is>
      </c>
      <c r="AQ165" s="51" t="inlineStr">
        <is>
          <t>+47 55 70 80 80</t>
        </is>
      </c>
      <c r="AR165" s="52" t="inlineStr">
        <is>
          <t>+47 55 54 37 46</t>
        </is>
      </c>
      <c r="AS165" s="53" t="inlineStr">
        <is>
          <t>mail@sorbwater.com</t>
        </is>
      </c>
      <c r="AT165" s="54" t="inlineStr">
        <is>
          <t>Europe</t>
        </is>
      </c>
      <c r="AU165" s="55" t="inlineStr">
        <is>
          <t>Northern Europe</t>
        </is>
      </c>
      <c r="AV165" s="56" t="inlineStr">
        <is>
          <t>The company raised NOK 43 million of venture funding in a round led by Repsol on May 31, 2017. Investinor also participated in this round.</t>
        </is>
      </c>
      <c r="AW165" s="57" t="inlineStr">
        <is>
          <t>Aquarius Water Group, Investinor, ProVenture Seed, Repsol New Energy Ventures, Sarsia Seed, Sparebanken Vest</t>
        </is>
      </c>
      <c r="AX165" s="58" t="n">
        <v>6.0</v>
      </c>
      <c r="AY165" s="59" t="inlineStr">
        <is>
          <t/>
        </is>
      </c>
      <c r="AZ165" s="60" t="inlineStr">
        <is>
          <t/>
        </is>
      </c>
      <c r="BA165" s="61" t="inlineStr">
        <is>
          <t/>
        </is>
      </c>
      <c r="BB165" s="62" t="inlineStr">
        <is>
          <t>Aquarius Water Group (www.aquarius-holding.com), Investinor (www.investinor.no), ProVenture Seed (www.proventure.no), Sarsia Seed (www.sarsiaseed.com), Sparebanken Vest (www.spv.no)</t>
        </is>
      </c>
      <c r="BC165" s="63" t="inlineStr">
        <is>
          <t/>
        </is>
      </c>
      <c r="BD165" s="64" t="inlineStr">
        <is>
          <t/>
        </is>
      </c>
      <c r="BE165" s="65" t="inlineStr">
        <is>
          <t>EY (Auditor)</t>
        </is>
      </c>
      <c r="BF165" s="66" t="inlineStr">
        <is>
          <t/>
        </is>
      </c>
      <c r="BG165" s="67" t="n">
        <v>40585.0</v>
      </c>
      <c r="BH165" s="68" t="n">
        <v>2.87</v>
      </c>
      <c r="BI165" s="69" t="inlineStr">
        <is>
          <t>Actual</t>
        </is>
      </c>
      <c r="BJ165" s="70" t="inlineStr">
        <is>
          <t/>
        </is>
      </c>
      <c r="BK165" s="71" t="inlineStr">
        <is>
          <t/>
        </is>
      </c>
      <c r="BL165" s="72" t="inlineStr">
        <is>
          <t>Early Stage VC</t>
        </is>
      </c>
      <c r="BM165" s="73" t="inlineStr">
        <is>
          <t/>
        </is>
      </c>
      <c r="BN165" s="74" t="inlineStr">
        <is>
          <t/>
        </is>
      </c>
      <c r="BO165" s="75" t="inlineStr">
        <is>
          <t>Venture Capital</t>
        </is>
      </c>
      <c r="BP165" s="76" t="inlineStr">
        <is>
          <t/>
        </is>
      </c>
      <c r="BQ165" s="77" t="inlineStr">
        <is>
          <t/>
        </is>
      </c>
      <c r="BR165" s="78" t="inlineStr">
        <is>
          <t/>
        </is>
      </c>
      <c r="BS165" s="79" t="inlineStr">
        <is>
          <t>Completed</t>
        </is>
      </c>
      <c r="BT165" s="80" t="n">
        <v>42886.0</v>
      </c>
      <c r="BU165" s="81" t="n">
        <v>4.58</v>
      </c>
      <c r="BV165" s="82" t="inlineStr">
        <is>
          <t>Actual</t>
        </is>
      </c>
      <c r="BW165" s="83" t="inlineStr">
        <is>
          <t/>
        </is>
      </c>
      <c r="BX165" s="84" t="inlineStr">
        <is>
          <t/>
        </is>
      </c>
      <c r="BY165" s="85" t="inlineStr">
        <is>
          <t>Later Stage VC</t>
        </is>
      </c>
      <c r="BZ165" s="86" t="inlineStr">
        <is>
          <t/>
        </is>
      </c>
      <c r="CA165" s="87" t="inlineStr">
        <is>
          <t/>
        </is>
      </c>
      <c r="CB165" s="88" t="inlineStr">
        <is>
          <t>Venture Capital</t>
        </is>
      </c>
      <c r="CC165" s="89" t="inlineStr">
        <is>
          <t/>
        </is>
      </c>
      <c r="CD165" s="90" t="inlineStr">
        <is>
          <t/>
        </is>
      </c>
      <c r="CE165" s="91" t="inlineStr">
        <is>
          <t/>
        </is>
      </c>
      <c r="CF165" s="92" t="inlineStr">
        <is>
          <t>Completed</t>
        </is>
      </c>
      <c r="CG165" s="93" t="inlineStr">
        <is>
          <t>0,00%</t>
        </is>
      </c>
      <c r="CH165" s="94" t="inlineStr">
        <is>
          <t>33</t>
        </is>
      </c>
      <c r="CI165" s="95" t="inlineStr">
        <is>
          <t>0,00%</t>
        </is>
      </c>
      <c r="CJ165" s="96" t="inlineStr">
        <is>
          <t>0,00%</t>
        </is>
      </c>
      <c r="CK165" s="97" t="inlineStr">
        <is>
          <t>0,00%</t>
        </is>
      </c>
      <c r="CL165" s="98" t="inlineStr">
        <is>
          <t>28</t>
        </is>
      </c>
      <c r="CM165" s="99" t="inlineStr">
        <is>
          <t/>
        </is>
      </c>
      <c r="CN165" s="100" t="inlineStr">
        <is>
          <t/>
        </is>
      </c>
      <c r="CO165" s="101" t="inlineStr">
        <is>
          <t/>
        </is>
      </c>
      <c r="CP165" s="102" t="inlineStr">
        <is>
          <t/>
        </is>
      </c>
      <c r="CQ165" s="103" t="inlineStr">
        <is>
          <t>0,00%</t>
        </is>
      </c>
      <c r="CR165" s="104" t="inlineStr">
        <is>
          <t>20</t>
        </is>
      </c>
      <c r="CS165" s="105" t="inlineStr">
        <is>
          <t/>
        </is>
      </c>
      <c r="CT165" s="106" t="inlineStr">
        <is>
          <t/>
        </is>
      </c>
      <c r="CU165" s="107" t="inlineStr">
        <is>
          <t/>
        </is>
      </c>
      <c r="CV165" s="108" t="inlineStr">
        <is>
          <t/>
        </is>
      </c>
      <c r="CW165" s="109" t="inlineStr">
        <is>
          <t>0,39x</t>
        </is>
      </c>
      <c r="CX165" s="110" t="inlineStr">
        <is>
          <t>27</t>
        </is>
      </c>
      <c r="CY165" s="111" t="inlineStr">
        <is>
          <t>0,00x</t>
        </is>
      </c>
      <c r="CZ165" s="112" t="inlineStr">
        <is>
          <t>0,00%</t>
        </is>
      </c>
      <c r="DA165" s="113" t="inlineStr">
        <is>
          <t>0,39x</t>
        </is>
      </c>
      <c r="DB165" s="114" t="inlineStr">
        <is>
          <t>29</t>
        </is>
      </c>
      <c r="DC165" s="115" t="inlineStr">
        <is>
          <t/>
        </is>
      </c>
      <c r="DD165" s="116" t="inlineStr">
        <is>
          <t/>
        </is>
      </c>
      <c r="DE165" s="117" t="inlineStr">
        <is>
          <t/>
        </is>
      </c>
      <c r="DF165" s="118" t="inlineStr">
        <is>
          <t/>
        </is>
      </c>
      <c r="DG165" s="119" t="inlineStr">
        <is>
          <t>0,39x</t>
        </is>
      </c>
      <c r="DH165" s="120" t="inlineStr">
        <is>
          <t>30</t>
        </is>
      </c>
      <c r="DI165" s="121" t="inlineStr">
        <is>
          <t/>
        </is>
      </c>
      <c r="DJ165" s="122" t="inlineStr">
        <is>
          <t/>
        </is>
      </c>
      <c r="DK165" s="123" t="inlineStr">
        <is>
          <t/>
        </is>
      </c>
      <c r="DL165" s="124" t="inlineStr">
        <is>
          <t/>
        </is>
      </c>
      <c r="DM165" s="125" t="inlineStr">
        <is>
          <t/>
        </is>
      </c>
      <c r="DN165" s="126" t="inlineStr">
        <is>
          <t/>
        </is>
      </c>
      <c r="DO165" s="127" t="inlineStr">
        <is>
          <t/>
        </is>
      </c>
      <c r="DP165" s="128" t="inlineStr">
        <is>
          <t/>
        </is>
      </c>
      <c r="DQ165" s="129" t="inlineStr">
        <is>
          <t/>
        </is>
      </c>
      <c r="DR165" s="130" t="inlineStr">
        <is>
          <t/>
        </is>
      </c>
      <c r="DS165" s="131" t="inlineStr">
        <is>
          <t>14</t>
        </is>
      </c>
      <c r="DT165" s="132" t="inlineStr">
        <is>
          <t>0</t>
        </is>
      </c>
      <c r="DU165" s="133" t="inlineStr">
        <is>
          <t>0,00%</t>
        </is>
      </c>
      <c r="DV165" s="134" t="inlineStr">
        <is>
          <t/>
        </is>
      </c>
      <c r="DW165" s="135" t="inlineStr">
        <is>
          <t/>
        </is>
      </c>
      <c r="DX165" s="136" t="inlineStr">
        <is>
          <t/>
        </is>
      </c>
      <c r="DY165" s="137" t="inlineStr">
        <is>
          <t>PitchBook Research</t>
        </is>
      </c>
      <c r="DZ165" s="785">
        <f>HYPERLINK("https://my.pitchbook.com?c=57642-40", "View company online")</f>
      </c>
    </row>
    <row r="166">
      <c r="A166" s="139" t="inlineStr">
        <is>
          <t>62205-58</t>
        </is>
      </c>
      <c r="B166" s="140" t="inlineStr">
        <is>
          <t>CosmoTech</t>
        </is>
      </c>
      <c r="C166" s="141" t="inlineStr">
        <is>
          <t/>
        </is>
      </c>
      <c r="D166" s="142" t="inlineStr">
        <is>
          <t/>
        </is>
      </c>
      <c r="E166" s="143" t="inlineStr">
        <is>
          <t>62205-58</t>
        </is>
      </c>
      <c r="F166" s="144" t="inlineStr">
        <is>
          <t>Provider of modeling and simulation software systems designed to leverage the use of big data. The company's modeling and simulation software systems transform raw data into organized knowledge and clear insights, as well as run multiple simulations on different scenarios, enabling clients to evaluate the consequences of a decision and be able to optimize it.</t>
        </is>
      </c>
      <c r="G166" s="145" t="inlineStr">
        <is>
          <t>Information Technology</t>
        </is>
      </c>
      <c r="H166" s="146" t="inlineStr">
        <is>
          <t>Software</t>
        </is>
      </c>
      <c r="I166" s="147" t="inlineStr">
        <is>
          <t>Application Software</t>
        </is>
      </c>
      <c r="J166" s="148" t="inlineStr">
        <is>
          <t>Application Software*; Other Software</t>
        </is>
      </c>
      <c r="K166" s="149" t="inlineStr">
        <is>
          <t>Big Data, SaaS</t>
        </is>
      </c>
      <c r="L166" s="150" t="inlineStr">
        <is>
          <t>Venture Capital-Backed</t>
        </is>
      </c>
      <c r="M166" s="151" t="n">
        <v>7.4</v>
      </c>
      <c r="N166" s="152" t="inlineStr">
        <is>
          <t>Profitable</t>
        </is>
      </c>
      <c r="O166" s="153" t="inlineStr">
        <is>
          <t>Privately Held (backing)</t>
        </is>
      </c>
      <c r="P166" s="154" t="inlineStr">
        <is>
          <t>Venture Capital</t>
        </is>
      </c>
      <c r="Q166" s="155" t="inlineStr">
        <is>
          <t>www.cosmotech.com</t>
        </is>
      </c>
      <c r="R166" s="156" t="n">
        <v>70.0</v>
      </c>
      <c r="S166" s="157" t="inlineStr">
        <is>
          <t/>
        </is>
      </c>
      <c r="T166" s="158" t="inlineStr">
        <is>
          <t/>
        </is>
      </c>
      <c r="U166" s="159" t="n">
        <v>2010.0</v>
      </c>
      <c r="V166" s="160" t="inlineStr">
        <is>
          <t/>
        </is>
      </c>
      <c r="W166" s="161" t="inlineStr">
        <is>
          <t/>
        </is>
      </c>
      <c r="X166" s="162" t="inlineStr">
        <is>
          <t/>
        </is>
      </c>
      <c r="Y166" s="163" t="n">
        <v>3.34852</v>
      </c>
      <c r="Z166" s="164" t="inlineStr">
        <is>
          <t/>
        </is>
      </c>
      <c r="AA166" s="165" t="n">
        <v>-0.55018</v>
      </c>
      <c r="AB166" s="166" t="inlineStr">
        <is>
          <t/>
        </is>
      </c>
      <c r="AC166" s="167" t="n">
        <v>-1.68849</v>
      </c>
      <c r="AD166" s="168" t="inlineStr">
        <is>
          <t>FY 2016</t>
        </is>
      </c>
      <c r="AE166" s="169" t="inlineStr">
        <is>
          <t>127029-07P</t>
        </is>
      </c>
      <c r="AF166" s="170" t="inlineStr">
        <is>
          <t>Laurent Hours</t>
        </is>
      </c>
      <c r="AG166" s="171" t="inlineStr">
        <is>
          <t>Chief Financial Officer</t>
        </is>
      </c>
      <c r="AH166" s="172" t="inlineStr">
        <is>
          <t>laurent.hours@thecosmocompany.com</t>
        </is>
      </c>
      <c r="AI166" s="173" t="inlineStr">
        <is>
          <t>+33 (0)4 37 66 71 57</t>
        </is>
      </c>
      <c r="AJ166" s="174" t="inlineStr">
        <is>
          <t>Lyon, France</t>
        </is>
      </c>
      <c r="AK166" s="175" t="inlineStr">
        <is>
          <t>5 passage du Vercors</t>
        </is>
      </c>
      <c r="AL166" s="176" t="inlineStr">
        <is>
          <t/>
        </is>
      </c>
      <c r="AM166" s="177" t="inlineStr">
        <is>
          <t>Lyon</t>
        </is>
      </c>
      <c r="AN166" s="178" t="inlineStr">
        <is>
          <t/>
        </is>
      </c>
      <c r="AO166" s="179" t="inlineStr">
        <is>
          <t>69007</t>
        </is>
      </c>
      <c r="AP166" s="180" t="inlineStr">
        <is>
          <t>France</t>
        </is>
      </c>
      <c r="AQ166" s="181" t="inlineStr">
        <is>
          <t>+33 (0)4 37 66 71 57</t>
        </is>
      </c>
      <c r="AR166" s="182" t="inlineStr">
        <is>
          <t/>
        </is>
      </c>
      <c r="AS166" s="183" t="inlineStr">
        <is>
          <t>contact@thecosmocompany.com</t>
        </is>
      </c>
      <c r="AT166" s="184" t="inlineStr">
        <is>
          <t>Europe</t>
        </is>
      </c>
      <c r="AU166" s="185" t="inlineStr">
        <is>
          <t>Western Europe</t>
        </is>
      </c>
      <c r="AV166" s="186" t="inlineStr">
        <is>
          <t>The company raised $8.3 million of Series A venture funding in a deal co-led by Sofimac Partners and Aster Capital Partners on June 15, 2017. BNP Paribas Deìveloppement and Crédit Agricole Finistère also participated in the round.</t>
        </is>
      </c>
      <c r="AW166" s="187" t="inlineStr">
        <is>
          <t>Aster Capital Partners, BNP Paribas Développement, Crealys, Crédit Agricole Finistère, Impact USA, Sofimac Partners</t>
        </is>
      </c>
      <c r="AX166" s="188" t="n">
        <v>6.0</v>
      </c>
      <c r="AY166" s="189" t="inlineStr">
        <is>
          <t/>
        </is>
      </c>
      <c r="AZ166" s="190" t="inlineStr">
        <is>
          <t/>
        </is>
      </c>
      <c r="BA166" s="191" t="inlineStr">
        <is>
          <t/>
        </is>
      </c>
      <c r="BB166" s="192" t="inlineStr">
        <is>
          <t>Aster Capital Partners (www.aster.com), BNP Paribas Développement (www.bnpparibasdeveloppement.com), Crealys (www.crealys.com), Crédit Agricole Finistère (www.ca-finistere.fr), Impact USA (www.impact-north-america.com), Sofimac Partners (www.sofimacpartners.fr)</t>
        </is>
      </c>
      <c r="BC166" s="193" t="inlineStr">
        <is>
          <t/>
        </is>
      </c>
      <c r="BD166" s="194" t="inlineStr">
        <is>
          <t/>
        </is>
      </c>
      <c r="BE166" s="195" t="inlineStr">
        <is>
          <t>Wilson Sonsini Goodrich &amp; Rosati (Legal Advisor)</t>
        </is>
      </c>
      <c r="BF166" s="196" t="inlineStr">
        <is>
          <t>Apparius Corporate Finance (Advisor: General), Wilson Sonsini Goodrich &amp; Rosati (Legal Advisor), Bellecour Conseils (Advisor: General)</t>
        </is>
      </c>
      <c r="BG166" s="197" t="n">
        <v>40179.0</v>
      </c>
      <c r="BH166" s="198" t="inlineStr">
        <is>
          <t/>
        </is>
      </c>
      <c r="BI166" s="199" t="inlineStr">
        <is>
          <t/>
        </is>
      </c>
      <c r="BJ166" s="200" t="inlineStr">
        <is>
          <t/>
        </is>
      </c>
      <c r="BK166" s="201" t="inlineStr">
        <is>
          <t/>
        </is>
      </c>
      <c r="BL166" s="202" t="inlineStr">
        <is>
          <t>Accelerator/Incubator</t>
        </is>
      </c>
      <c r="BM166" s="203" t="inlineStr">
        <is>
          <t/>
        </is>
      </c>
      <c r="BN166" s="204" t="inlineStr">
        <is>
          <t/>
        </is>
      </c>
      <c r="BO166" s="205" t="inlineStr">
        <is>
          <t>Other</t>
        </is>
      </c>
      <c r="BP166" s="206" t="inlineStr">
        <is>
          <t/>
        </is>
      </c>
      <c r="BQ166" s="207" t="inlineStr">
        <is>
          <t/>
        </is>
      </c>
      <c r="BR166" s="208" t="inlineStr">
        <is>
          <t/>
        </is>
      </c>
      <c r="BS166" s="209" t="inlineStr">
        <is>
          <t>Completed</t>
        </is>
      </c>
      <c r="BT166" s="210" t="n">
        <v>42901.0</v>
      </c>
      <c r="BU166" s="211" t="n">
        <v>7.4</v>
      </c>
      <c r="BV166" s="212" t="inlineStr">
        <is>
          <t>Actual</t>
        </is>
      </c>
      <c r="BW166" s="213" t="inlineStr">
        <is>
          <t/>
        </is>
      </c>
      <c r="BX166" s="214" t="inlineStr">
        <is>
          <t/>
        </is>
      </c>
      <c r="BY166" s="215" t="inlineStr">
        <is>
          <t>Later Stage VC</t>
        </is>
      </c>
      <c r="BZ166" s="216" t="inlineStr">
        <is>
          <t>Series A</t>
        </is>
      </c>
      <c r="CA166" s="217" t="inlineStr">
        <is>
          <t/>
        </is>
      </c>
      <c r="CB166" s="218" t="inlineStr">
        <is>
          <t>Venture Capital</t>
        </is>
      </c>
      <c r="CC166" s="219" t="inlineStr">
        <is>
          <t/>
        </is>
      </c>
      <c r="CD166" s="220" t="inlineStr">
        <is>
          <t/>
        </is>
      </c>
      <c r="CE166" s="221" t="inlineStr">
        <is>
          <t/>
        </is>
      </c>
      <c r="CF166" s="222" t="inlineStr">
        <is>
          <t>Completed</t>
        </is>
      </c>
      <c r="CG166" s="223" t="inlineStr">
        <is>
          <t>0,06%</t>
        </is>
      </c>
      <c r="CH166" s="224" t="inlineStr">
        <is>
          <t>79</t>
        </is>
      </c>
      <c r="CI166" s="225" t="inlineStr">
        <is>
          <t>-0,04%</t>
        </is>
      </c>
      <c r="CJ166" s="226" t="inlineStr">
        <is>
          <t>-41,58%</t>
        </is>
      </c>
      <c r="CK166" s="227" t="inlineStr">
        <is>
          <t>-1,07%</t>
        </is>
      </c>
      <c r="CL166" s="228" t="inlineStr">
        <is>
          <t>19</t>
        </is>
      </c>
      <c r="CM166" s="229" t="inlineStr">
        <is>
          <t>0,31%</t>
        </is>
      </c>
      <c r="CN166" s="230" t="inlineStr">
        <is>
          <t>81</t>
        </is>
      </c>
      <c r="CO166" s="231" t="inlineStr">
        <is>
          <t>-3,16%</t>
        </is>
      </c>
      <c r="CP166" s="232" t="inlineStr">
        <is>
          <t>26</t>
        </is>
      </c>
      <c r="CQ166" s="233" t="inlineStr">
        <is>
          <t>1,01%</t>
        </is>
      </c>
      <c r="CR166" s="234" t="inlineStr">
        <is>
          <t>93</t>
        </is>
      </c>
      <c r="CS166" s="235" t="inlineStr">
        <is>
          <t>0,57%</t>
        </is>
      </c>
      <c r="CT166" s="236" t="inlineStr">
        <is>
          <t>89</t>
        </is>
      </c>
      <c r="CU166" s="237" t="inlineStr">
        <is>
          <t>0,04%</t>
        </is>
      </c>
      <c r="CV166" s="238" t="inlineStr">
        <is>
          <t>58</t>
        </is>
      </c>
      <c r="CW166" s="239" t="inlineStr">
        <is>
          <t>2,92x</t>
        </is>
      </c>
      <c r="CX166" s="240" t="inlineStr">
        <is>
          <t>72</t>
        </is>
      </c>
      <c r="CY166" s="241" t="inlineStr">
        <is>
          <t>-0,02x</t>
        </is>
      </c>
      <c r="CZ166" s="242" t="inlineStr">
        <is>
          <t>-0,81%</t>
        </is>
      </c>
      <c r="DA166" s="243" t="inlineStr">
        <is>
          <t>2,52x</t>
        </is>
      </c>
      <c r="DB166" s="244" t="inlineStr">
        <is>
          <t>71</t>
        </is>
      </c>
      <c r="DC166" s="245" t="inlineStr">
        <is>
          <t>5,98x</t>
        </is>
      </c>
      <c r="DD166" s="246" t="inlineStr">
        <is>
          <t>78</t>
        </is>
      </c>
      <c r="DE166" s="247" t="inlineStr">
        <is>
          <t>1,96x</t>
        </is>
      </c>
      <c r="DF166" s="248" t="inlineStr">
        <is>
          <t>66</t>
        </is>
      </c>
      <c r="DG166" s="249" t="inlineStr">
        <is>
          <t>3,08x</t>
        </is>
      </c>
      <c r="DH166" s="250" t="inlineStr">
        <is>
          <t>72</t>
        </is>
      </c>
      <c r="DI166" s="251" t="inlineStr">
        <is>
          <t>0,23x</t>
        </is>
      </c>
      <c r="DJ166" s="252" t="inlineStr">
        <is>
          <t>26</t>
        </is>
      </c>
      <c r="DK166" s="253" t="inlineStr">
        <is>
          <t>11,73x</t>
        </is>
      </c>
      <c r="DL166" s="254" t="inlineStr">
        <is>
          <t>88</t>
        </is>
      </c>
      <c r="DM166" s="255" t="inlineStr">
        <is>
          <t>747</t>
        </is>
      </c>
      <c r="DN166" s="256" t="inlineStr">
        <is>
          <t>-58</t>
        </is>
      </c>
      <c r="DO166" s="257" t="inlineStr">
        <is>
          <t>-7,20%</t>
        </is>
      </c>
      <c r="DP166" s="258" t="inlineStr">
        <is>
          <t>179</t>
        </is>
      </c>
      <c r="DQ166" s="259" t="inlineStr">
        <is>
          <t>2</t>
        </is>
      </c>
      <c r="DR166" s="260" t="inlineStr">
        <is>
          <t>1,13%</t>
        </is>
      </c>
      <c r="DS166" s="261" t="inlineStr">
        <is>
          <t>111</t>
        </is>
      </c>
      <c r="DT166" s="262" t="inlineStr">
        <is>
          <t>0</t>
        </is>
      </c>
      <c r="DU166" s="263" t="inlineStr">
        <is>
          <t>0,00%</t>
        </is>
      </c>
      <c r="DV166" s="264" t="inlineStr">
        <is>
          <t>4.391</t>
        </is>
      </c>
      <c r="DW166" s="265" t="inlineStr">
        <is>
          <t>2</t>
        </is>
      </c>
      <c r="DX166" s="266" t="inlineStr">
        <is>
          <t>0,05%</t>
        </is>
      </c>
      <c r="DY166" s="267" t="inlineStr">
        <is>
          <t>PitchBook Research</t>
        </is>
      </c>
      <c r="DZ166" s="786">
        <f>HYPERLINK("https://my.pitchbook.com?c=62205-58", "View company online")</f>
      </c>
    </row>
    <row r="167">
      <c r="A167" s="9" t="inlineStr">
        <is>
          <t>65876-50</t>
        </is>
      </c>
      <c r="B167" s="10" t="inlineStr">
        <is>
          <t>Fairphone</t>
        </is>
      </c>
      <c r="C167" s="11" t="inlineStr">
        <is>
          <t/>
        </is>
      </c>
      <c r="D167" s="12" t="inlineStr">
        <is>
          <t/>
        </is>
      </c>
      <c r="E167" s="13" t="inlineStr">
        <is>
          <t>65876-50</t>
        </is>
      </c>
      <c r="F167" s="14" t="inlineStr">
        <is>
          <t>Developer of a ethically sourced smartphone designed to call, text and surf the web. The company's smartphone is an ethical, modular device made using materials from a completely transparent supply chain, enabling consumers to create positive social and environmental impact from the beginning to the end of a phone's life cycle.</t>
        </is>
      </c>
      <c r="G167" s="15" t="inlineStr">
        <is>
          <t>Consumer Products and Services (B2C)</t>
        </is>
      </c>
      <c r="H167" s="16" t="inlineStr">
        <is>
          <t>Consumer Durables</t>
        </is>
      </c>
      <c r="I167" s="17" t="inlineStr">
        <is>
          <t>Electronics (B2C)</t>
        </is>
      </c>
      <c r="J167" s="18" t="inlineStr">
        <is>
          <t>Electronics (B2C)*</t>
        </is>
      </c>
      <c r="K167" s="19" t="inlineStr">
        <is>
          <t>Mobile</t>
        </is>
      </c>
      <c r="L167" s="20" t="inlineStr">
        <is>
          <t>Venture Capital-Backed</t>
        </is>
      </c>
      <c r="M167" s="21" t="n">
        <v>7.22</v>
      </c>
      <c r="N167" s="22" t="inlineStr">
        <is>
          <t>Profitable</t>
        </is>
      </c>
      <c r="O167" s="23" t="inlineStr">
        <is>
          <t>Privately Held (backing)</t>
        </is>
      </c>
      <c r="P167" s="24" t="inlineStr">
        <is>
          <t>Venture Capital</t>
        </is>
      </c>
      <c r="Q167" s="25" t="inlineStr">
        <is>
          <t>www.fairphone.com</t>
        </is>
      </c>
      <c r="R167" s="26" t="n">
        <v>70.0</v>
      </c>
      <c r="S167" s="27" t="inlineStr">
        <is>
          <t/>
        </is>
      </c>
      <c r="T167" s="28" t="inlineStr">
        <is>
          <t/>
        </is>
      </c>
      <c r="U167" s="29" t="n">
        <v>2009.0</v>
      </c>
      <c r="V167" s="30" t="inlineStr">
        <is>
          <t/>
        </is>
      </c>
      <c r="W167" s="31" t="inlineStr">
        <is>
          <t/>
        </is>
      </c>
      <c r="X167" s="32" t="inlineStr">
        <is>
          <t/>
        </is>
      </c>
      <c r="Y167" s="33" t="n">
        <v>21.26125</v>
      </c>
      <c r="Z167" s="34" t="inlineStr">
        <is>
          <t/>
        </is>
      </c>
      <c r="AA167" s="35" t="inlineStr">
        <is>
          <t/>
        </is>
      </c>
      <c r="AB167" s="36" t="inlineStr">
        <is>
          <t/>
        </is>
      </c>
      <c r="AC167" s="37" t="inlineStr">
        <is>
          <t/>
        </is>
      </c>
      <c r="AD167" s="38" t="inlineStr">
        <is>
          <t>FY 2017</t>
        </is>
      </c>
      <c r="AE167" s="39" t="inlineStr">
        <is>
          <t>75523-60P</t>
        </is>
      </c>
      <c r="AF167" s="40" t="inlineStr">
        <is>
          <t>Bas Van Abel</t>
        </is>
      </c>
      <c r="AG167" s="41" t="inlineStr">
        <is>
          <t>Co-Founder &amp; Chief Executive Officer</t>
        </is>
      </c>
      <c r="AH167" s="42" t="inlineStr">
        <is>
          <t>bas@fairphone.com</t>
        </is>
      </c>
      <c r="AI167" s="43" t="inlineStr">
        <is>
          <t>+31 (0)20 557 9854</t>
        </is>
      </c>
      <c r="AJ167" s="44" t="inlineStr">
        <is>
          <t>Amsterdam, Netherlands</t>
        </is>
      </c>
      <c r="AK167" s="45" t="inlineStr">
        <is>
          <t>Jollemanhof 17</t>
        </is>
      </c>
      <c r="AL167" s="46" t="inlineStr">
        <is>
          <t/>
        </is>
      </c>
      <c r="AM167" s="47" t="inlineStr">
        <is>
          <t>Amsterdam</t>
        </is>
      </c>
      <c r="AN167" s="48" t="inlineStr">
        <is>
          <t/>
        </is>
      </c>
      <c r="AO167" s="49" t="inlineStr">
        <is>
          <t>1019 GW</t>
        </is>
      </c>
      <c r="AP167" s="50" t="inlineStr">
        <is>
          <t>Netherlands</t>
        </is>
      </c>
      <c r="AQ167" s="51" t="inlineStr">
        <is>
          <t>+31 (0)20 557 9854</t>
        </is>
      </c>
      <c r="AR167" s="52" t="inlineStr">
        <is>
          <t/>
        </is>
      </c>
      <c r="AS167" s="53" t="inlineStr">
        <is>
          <t>info@fairphone.com</t>
        </is>
      </c>
      <c r="AT167" s="54" t="inlineStr">
        <is>
          <t>Europe</t>
        </is>
      </c>
      <c r="AU167" s="55" t="inlineStr">
        <is>
          <t>Western Europe</t>
        </is>
      </c>
      <c r="AV167" s="56" t="inlineStr">
        <is>
          <t>The company raised EUR 6.5 million of venture funding from Pymwymic Group, DOEN Foundation and other undisclosed investors on September 21, 2017. The new investments equip the company to meet a growing demand for fairer electronics and expand its European distribution network.</t>
        </is>
      </c>
      <c r="AW167" s="57" t="inlineStr">
        <is>
          <t>ASN Bank, Berti Investments, Bethnal Green Ventures, DOEN Foundation, NCDO, Pymwymic Group, Waag</t>
        </is>
      </c>
      <c r="AX167" s="58" t="n">
        <v>7.0</v>
      </c>
      <c r="AY167" s="59" t="inlineStr">
        <is>
          <t/>
        </is>
      </c>
      <c r="AZ167" s="60" t="inlineStr">
        <is>
          <t/>
        </is>
      </c>
      <c r="BA167" s="61" t="inlineStr">
        <is>
          <t/>
        </is>
      </c>
      <c r="BB167" s="62" t="inlineStr">
        <is>
          <t>ASN Bank (www.asnbank.nl), Berti Investments (www.bertiinvestments.com), Bethnal Green Ventures (www.bethnalgreenventures.com), DOEN Foundation (www.doen.nl), NCDO (www.ncdo.nl), Pymwymic Group (www.pymwymic.com), Waag (www.waag.org)</t>
        </is>
      </c>
      <c r="BC167" s="63" t="inlineStr">
        <is>
          <t/>
        </is>
      </c>
      <c r="BD167" s="64" t="inlineStr">
        <is>
          <t/>
        </is>
      </c>
      <c r="BE167" s="65" t="inlineStr">
        <is>
          <t/>
        </is>
      </c>
      <c r="BF167" s="66" t="inlineStr">
        <is>
          <t/>
        </is>
      </c>
      <c r="BG167" s="67" t="inlineStr">
        <is>
          <t/>
        </is>
      </c>
      <c r="BH167" s="68" t="n">
        <v>0.3</v>
      </c>
      <c r="BI167" s="69" t="inlineStr">
        <is>
          <t>Actual</t>
        </is>
      </c>
      <c r="BJ167" s="70" t="inlineStr">
        <is>
          <t/>
        </is>
      </c>
      <c r="BK167" s="71" t="inlineStr">
        <is>
          <t/>
        </is>
      </c>
      <c r="BL167" s="72" t="inlineStr">
        <is>
          <t>Early Stage VC</t>
        </is>
      </c>
      <c r="BM167" s="73" t="inlineStr">
        <is>
          <t/>
        </is>
      </c>
      <c r="BN167" s="74" t="inlineStr">
        <is>
          <t/>
        </is>
      </c>
      <c r="BO167" s="75" t="inlineStr">
        <is>
          <t>Venture Capital</t>
        </is>
      </c>
      <c r="BP167" s="76" t="inlineStr">
        <is>
          <t/>
        </is>
      </c>
      <c r="BQ167" s="77" t="inlineStr">
        <is>
          <t/>
        </is>
      </c>
      <c r="BR167" s="78" t="inlineStr">
        <is>
          <t/>
        </is>
      </c>
      <c r="BS167" s="79" t="inlineStr">
        <is>
          <t>Completed</t>
        </is>
      </c>
      <c r="BT167" s="80" t="n">
        <v>42999.0</v>
      </c>
      <c r="BU167" s="81" t="n">
        <v>6.5</v>
      </c>
      <c r="BV167" s="82" t="inlineStr">
        <is>
          <t>Actual</t>
        </is>
      </c>
      <c r="BW167" s="83" t="inlineStr">
        <is>
          <t/>
        </is>
      </c>
      <c r="BX167" s="84" t="inlineStr">
        <is>
          <t/>
        </is>
      </c>
      <c r="BY167" s="85" t="inlineStr">
        <is>
          <t>Later Stage VC</t>
        </is>
      </c>
      <c r="BZ167" s="86" t="inlineStr">
        <is>
          <t/>
        </is>
      </c>
      <c r="CA167" s="87" t="inlineStr">
        <is>
          <t/>
        </is>
      </c>
      <c r="CB167" s="88" t="inlineStr">
        <is>
          <t>Venture Capital</t>
        </is>
      </c>
      <c r="CC167" s="89" t="inlineStr">
        <is>
          <t/>
        </is>
      </c>
      <c r="CD167" s="90" t="inlineStr">
        <is>
          <t/>
        </is>
      </c>
      <c r="CE167" s="91" t="inlineStr">
        <is>
          <t/>
        </is>
      </c>
      <c r="CF167" s="92" t="inlineStr">
        <is>
          <t>Completed</t>
        </is>
      </c>
      <c r="CG167" s="93" t="inlineStr">
        <is>
          <t>-5,28%</t>
        </is>
      </c>
      <c r="CH167" s="94" t="inlineStr">
        <is>
          <t>3</t>
        </is>
      </c>
      <c r="CI167" s="95" t="inlineStr">
        <is>
          <t>0,01%</t>
        </is>
      </c>
      <c r="CJ167" s="96" t="inlineStr">
        <is>
          <t>0,23%</t>
        </is>
      </c>
      <c r="CK167" s="97" t="inlineStr">
        <is>
          <t>-10,79%</t>
        </is>
      </c>
      <c r="CL167" s="98" t="inlineStr">
        <is>
          <t>3</t>
        </is>
      </c>
      <c r="CM167" s="99" t="inlineStr">
        <is>
          <t>0,23%</t>
        </is>
      </c>
      <c r="CN167" s="100" t="inlineStr">
        <is>
          <t>74</t>
        </is>
      </c>
      <c r="CO167" s="101" t="inlineStr">
        <is>
          <t>-21,22%</t>
        </is>
      </c>
      <c r="CP167" s="102" t="inlineStr">
        <is>
          <t>5</t>
        </is>
      </c>
      <c r="CQ167" s="103" t="inlineStr">
        <is>
          <t>-0,36%</t>
        </is>
      </c>
      <c r="CR167" s="104" t="inlineStr">
        <is>
          <t>17</t>
        </is>
      </c>
      <c r="CS167" s="105" t="inlineStr">
        <is>
          <t>0,17%</t>
        </is>
      </c>
      <c r="CT167" s="106" t="inlineStr">
        <is>
          <t>66</t>
        </is>
      </c>
      <c r="CU167" s="107" t="inlineStr">
        <is>
          <t>0,29%</t>
        </is>
      </c>
      <c r="CV167" s="108" t="inlineStr">
        <is>
          <t>83</t>
        </is>
      </c>
      <c r="CW167" s="109" t="inlineStr">
        <is>
          <t>112,17x</t>
        </is>
      </c>
      <c r="CX167" s="110" t="inlineStr">
        <is>
          <t>98</t>
        </is>
      </c>
      <c r="CY167" s="111" t="inlineStr">
        <is>
          <t>-0,62x</t>
        </is>
      </c>
      <c r="CZ167" s="112" t="inlineStr">
        <is>
          <t>-0,55%</t>
        </is>
      </c>
      <c r="DA167" s="113" t="inlineStr">
        <is>
          <t>96,77x</t>
        </is>
      </c>
      <c r="DB167" s="114" t="inlineStr">
        <is>
          <t>99</t>
        </is>
      </c>
      <c r="DC167" s="115" t="inlineStr">
        <is>
          <t>127,57x</t>
        </is>
      </c>
      <c r="DD167" s="116" t="inlineStr">
        <is>
          <t>97</t>
        </is>
      </c>
      <c r="DE167" s="117" t="inlineStr">
        <is>
          <t>25,57x</t>
        </is>
      </c>
      <c r="DF167" s="118" t="inlineStr">
        <is>
          <t>94</t>
        </is>
      </c>
      <c r="DG167" s="119" t="inlineStr">
        <is>
          <t>167,97x</t>
        </is>
      </c>
      <c r="DH167" s="120" t="inlineStr">
        <is>
          <t>100</t>
        </is>
      </c>
      <c r="DI167" s="121" t="inlineStr">
        <is>
          <t>169,68x</t>
        </is>
      </c>
      <c r="DJ167" s="122" t="inlineStr">
        <is>
          <t>97</t>
        </is>
      </c>
      <c r="DK167" s="123" t="inlineStr">
        <is>
          <t>85,45x</t>
        </is>
      </c>
      <c r="DL167" s="124" t="inlineStr">
        <is>
          <t>98</t>
        </is>
      </c>
      <c r="DM167" s="125" t="inlineStr">
        <is>
          <t>9.503</t>
        </is>
      </c>
      <c r="DN167" s="126" t="inlineStr">
        <is>
          <t>-79</t>
        </is>
      </c>
      <c r="DO167" s="127" t="inlineStr">
        <is>
          <t>-0,82%</t>
        </is>
      </c>
      <c r="DP167" s="128" t="inlineStr">
        <is>
          <t>134.352</t>
        </is>
      </c>
      <c r="DQ167" s="129" t="inlineStr">
        <is>
          <t>150</t>
        </is>
      </c>
      <c r="DR167" s="130" t="inlineStr">
        <is>
          <t>0,11%</t>
        </is>
      </c>
      <c r="DS167" s="131" t="inlineStr">
        <is>
          <t>6.056</t>
        </is>
      </c>
      <c r="DT167" s="132" t="inlineStr">
        <is>
          <t>-22</t>
        </is>
      </c>
      <c r="DU167" s="133" t="inlineStr">
        <is>
          <t>-0,36%</t>
        </is>
      </c>
      <c r="DV167" s="134" t="inlineStr">
        <is>
          <t>31.928</t>
        </is>
      </c>
      <c r="DW167" s="135" t="inlineStr">
        <is>
          <t>117</t>
        </is>
      </c>
      <c r="DX167" s="136" t="inlineStr">
        <is>
          <t>0,37%</t>
        </is>
      </c>
      <c r="DY167" s="137" t="inlineStr">
        <is>
          <t>PitchBook Research</t>
        </is>
      </c>
      <c r="DZ167" s="785">
        <f>HYPERLINK("https://my.pitchbook.com?c=65876-50", "View company online")</f>
      </c>
    </row>
    <row r="168">
      <c r="A168" s="139" t="inlineStr">
        <is>
          <t>99136-63</t>
        </is>
      </c>
      <c r="B168" s="140" t="inlineStr">
        <is>
          <t>ZipJet</t>
        </is>
      </c>
      <c r="C168" s="141" t="inlineStr">
        <is>
          <t/>
        </is>
      </c>
      <c r="D168" s="142" t="inlineStr">
        <is>
          <t/>
        </is>
      </c>
      <c r="E168" s="143" t="inlineStr">
        <is>
          <t>99136-63</t>
        </is>
      </c>
      <c r="F168" s="144" t="inlineStr">
        <is>
          <t>Provider of on-demand laundry and dry cleaning services intended to offer digital laundry services. The company's on-demand laundry and dry cleaning services include cleaning, ironing, washing and folding, providing its customers with high quality cleaning and turnaround in as little as six hours.</t>
        </is>
      </c>
      <c r="G168" s="145" t="inlineStr">
        <is>
          <t>Business Products and Services (B2B)</t>
        </is>
      </c>
      <c r="H168" s="146" t="inlineStr">
        <is>
          <t>Commercial Services</t>
        </is>
      </c>
      <c r="I168" s="147" t="inlineStr">
        <is>
          <t>Other Commercial Services</t>
        </is>
      </c>
      <c r="J168" s="148" t="inlineStr">
        <is>
          <t>Other Commercial Services*; Other Consumer Products and Services; Social/Platform Software</t>
        </is>
      </c>
      <c r="K168" s="149" t="inlineStr">
        <is>
          <t>Mobile</t>
        </is>
      </c>
      <c r="L168" s="150" t="inlineStr">
        <is>
          <t>Venture Capital-Backed</t>
        </is>
      </c>
      <c r="M168" s="151" t="n">
        <v>7.2</v>
      </c>
      <c r="N168" s="152" t="inlineStr">
        <is>
          <t>Generating Revenue</t>
        </is>
      </c>
      <c r="O168" s="153" t="inlineStr">
        <is>
          <t>Privately Held (backing)</t>
        </is>
      </c>
      <c r="P168" s="154" t="inlineStr">
        <is>
          <t>Venture Capital</t>
        </is>
      </c>
      <c r="Q168" s="155" t="inlineStr">
        <is>
          <t>www.zipjet.co.uk</t>
        </is>
      </c>
      <c r="R168" s="156" t="n">
        <v>17.0</v>
      </c>
      <c r="S168" s="157" t="inlineStr">
        <is>
          <t/>
        </is>
      </c>
      <c r="T168" s="158" t="inlineStr">
        <is>
          <t/>
        </is>
      </c>
      <c r="U168" s="159" t="n">
        <v>2014.0</v>
      </c>
      <c r="V168" s="160" t="inlineStr">
        <is>
          <t/>
        </is>
      </c>
      <c r="W168" s="161" t="inlineStr">
        <is>
          <t/>
        </is>
      </c>
      <c r="X168" s="162" t="inlineStr">
        <is>
          <t/>
        </is>
      </c>
      <c r="Y168" s="163" t="n">
        <v>1.70746</v>
      </c>
      <c r="Z168" s="164" t="n">
        <v>0.64504</v>
      </c>
      <c r="AA168" s="165" t="inlineStr">
        <is>
          <t/>
        </is>
      </c>
      <c r="AB168" s="166" t="inlineStr">
        <is>
          <t/>
        </is>
      </c>
      <c r="AC168" s="167" t="n">
        <v>-2.17227</v>
      </c>
      <c r="AD168" s="168" t="inlineStr">
        <is>
          <t>FY 2016</t>
        </is>
      </c>
      <c r="AE168" s="169" t="inlineStr">
        <is>
          <t>83757-61P</t>
        </is>
      </c>
      <c r="AF168" s="170" t="inlineStr">
        <is>
          <t>Damian Kastil</t>
        </is>
      </c>
      <c r="AG168" s="171" t="inlineStr">
        <is>
          <t>Co-Founder</t>
        </is>
      </c>
      <c r="AH168" s="172" t="inlineStr">
        <is>
          <t/>
        </is>
      </c>
      <c r="AI168" s="173" t="inlineStr">
        <is>
          <t/>
        </is>
      </c>
      <c r="AJ168" s="174" t="inlineStr">
        <is>
          <t>London, United Kingdom</t>
        </is>
      </c>
      <c r="AK168" s="175" t="inlineStr">
        <is>
          <t>76 Oxford Street</t>
        </is>
      </c>
      <c r="AL168" s="176" t="inlineStr">
        <is>
          <t/>
        </is>
      </c>
      <c r="AM168" s="177" t="inlineStr">
        <is>
          <t>London</t>
        </is>
      </c>
      <c r="AN168" s="178" t="inlineStr">
        <is>
          <t>England</t>
        </is>
      </c>
      <c r="AO168" s="179" t="inlineStr">
        <is>
          <t>W1D 1BS</t>
        </is>
      </c>
      <c r="AP168" s="180" t="inlineStr">
        <is>
          <t>United Kingdom</t>
        </is>
      </c>
      <c r="AQ168" s="181" t="inlineStr">
        <is>
          <t/>
        </is>
      </c>
      <c r="AR168" s="182" t="inlineStr">
        <is>
          <t/>
        </is>
      </c>
      <c r="AS168" s="183" t="inlineStr">
        <is>
          <t>info@zipjet.com</t>
        </is>
      </c>
      <c r="AT168" s="184" t="inlineStr">
        <is>
          <t>Europe</t>
        </is>
      </c>
      <c r="AU168" s="185" t="inlineStr">
        <is>
          <t>Western Europe</t>
        </is>
      </c>
      <c r="AV168" s="186" t="inlineStr">
        <is>
          <t>The company raised GBP 3.08 million of venture funding from Henkel Ventures and R301 Capital on July 20, 2017, putting the pre-money valuation at GBP 4.8 million. The company will use the funds to further consolidate its position in continental Europe. Earlier, the company raised GBP 1.28 million of venture funding from undisclosed investors on December 22, 2016, putting the company's pre-money valuation at GBP 6.39 million.</t>
        </is>
      </c>
      <c r="AW168" s="187" t="inlineStr">
        <is>
          <t>btov Partners, Capital Mills, Henkel Ventures, R301 Capital, Rocket Internet, U-Start</t>
        </is>
      </c>
      <c r="AX168" s="188" t="n">
        <v>6.0</v>
      </c>
      <c r="AY168" s="189" t="inlineStr">
        <is>
          <t/>
        </is>
      </c>
      <c r="AZ168" s="190" t="inlineStr">
        <is>
          <t/>
        </is>
      </c>
      <c r="BA168" s="191" t="inlineStr">
        <is>
          <t/>
        </is>
      </c>
      <c r="BB168" s="192" t="inlineStr">
        <is>
          <t>btov Partners (www.btov.vc), Capital Mills (www.capitalmills.nl), Henkel Ventures (www.henkel-ventures.com), R301 Capital (www.r301capital.com), Rocket Internet (www.rocket-internet.com), U-Start (www.u-start.biz)</t>
        </is>
      </c>
      <c r="BC168" s="193" t="inlineStr">
        <is>
          <t/>
        </is>
      </c>
      <c r="BD168" s="194" t="inlineStr">
        <is>
          <t/>
        </is>
      </c>
      <c r="BE168" s="195" t="inlineStr">
        <is>
          <t>U-Start (Advisor: General), Kandidate (Consulting), Mantax Consulting (Auditor)</t>
        </is>
      </c>
      <c r="BF168" s="196" t="inlineStr">
        <is>
          <t/>
        </is>
      </c>
      <c r="BG168" s="197" t="n">
        <v>41946.0</v>
      </c>
      <c r="BH168" s="198" t="inlineStr">
        <is>
          <t/>
        </is>
      </c>
      <c r="BI168" s="199" t="inlineStr">
        <is>
          <t/>
        </is>
      </c>
      <c r="BJ168" s="200" t="inlineStr">
        <is>
          <t/>
        </is>
      </c>
      <c r="BK168" s="201" t="inlineStr">
        <is>
          <t/>
        </is>
      </c>
      <c r="BL168" s="202" t="inlineStr">
        <is>
          <t>Accelerator/Incubator</t>
        </is>
      </c>
      <c r="BM168" s="203" t="inlineStr">
        <is>
          <t/>
        </is>
      </c>
      <c r="BN168" s="204" t="inlineStr">
        <is>
          <t/>
        </is>
      </c>
      <c r="BO168" s="205" t="inlineStr">
        <is>
          <t>Venture Capital</t>
        </is>
      </c>
      <c r="BP168" s="206" t="inlineStr">
        <is>
          <t/>
        </is>
      </c>
      <c r="BQ168" s="207" t="inlineStr">
        <is>
          <t/>
        </is>
      </c>
      <c r="BR168" s="208" t="inlineStr">
        <is>
          <t/>
        </is>
      </c>
      <c r="BS168" s="209" t="inlineStr">
        <is>
          <t>Completed</t>
        </is>
      </c>
      <c r="BT168" s="210" t="n">
        <v>42936.0</v>
      </c>
      <c r="BU168" s="211" t="n">
        <v>3.48</v>
      </c>
      <c r="BV168" s="212" t="inlineStr">
        <is>
          <t>Actual</t>
        </is>
      </c>
      <c r="BW168" s="213" t="n">
        <v>8.89</v>
      </c>
      <c r="BX168" s="214" t="inlineStr">
        <is>
          <t>Actual</t>
        </is>
      </c>
      <c r="BY168" s="215" t="inlineStr">
        <is>
          <t>Later Stage VC</t>
        </is>
      </c>
      <c r="BZ168" s="216" t="inlineStr">
        <is>
          <t/>
        </is>
      </c>
      <c r="CA168" s="217" t="inlineStr">
        <is>
          <t/>
        </is>
      </c>
      <c r="CB168" s="218" t="inlineStr">
        <is>
          <t>Venture Capital</t>
        </is>
      </c>
      <c r="CC168" s="219" t="inlineStr">
        <is>
          <t/>
        </is>
      </c>
      <c r="CD168" s="220" t="inlineStr">
        <is>
          <t/>
        </is>
      </c>
      <c r="CE168" s="221" t="inlineStr">
        <is>
          <t/>
        </is>
      </c>
      <c r="CF168" s="222" t="inlineStr">
        <is>
          <t>Completed</t>
        </is>
      </c>
      <c r="CG168" s="223" t="inlineStr">
        <is>
          <t>-5,57%</t>
        </is>
      </c>
      <c r="CH168" s="224" t="inlineStr">
        <is>
          <t>3</t>
        </is>
      </c>
      <c r="CI168" s="225" t="inlineStr">
        <is>
          <t>0,01%</t>
        </is>
      </c>
      <c r="CJ168" s="226" t="inlineStr">
        <is>
          <t>0,10%</t>
        </is>
      </c>
      <c r="CK168" s="227" t="inlineStr">
        <is>
          <t>-16,67%</t>
        </is>
      </c>
      <c r="CL168" s="228" t="inlineStr">
        <is>
          <t>1</t>
        </is>
      </c>
      <c r="CM168" s="229" t="inlineStr">
        <is>
          <t>-0,05%</t>
        </is>
      </c>
      <c r="CN168" s="230" t="inlineStr">
        <is>
          <t>9</t>
        </is>
      </c>
      <c r="CO168" s="231" t="inlineStr">
        <is>
          <t>-16,67%</t>
        </is>
      </c>
      <c r="CP168" s="232" t="inlineStr">
        <is>
          <t>7</t>
        </is>
      </c>
      <c r="CQ168" s="233" t="inlineStr">
        <is>
          <t/>
        </is>
      </c>
      <c r="CR168" s="234" t="inlineStr">
        <is>
          <t/>
        </is>
      </c>
      <c r="CS168" s="235" t="inlineStr">
        <is>
          <t>0,12%</t>
        </is>
      </c>
      <c r="CT168" s="236" t="inlineStr">
        <is>
          <t>60</t>
        </is>
      </c>
      <c r="CU168" s="237" t="inlineStr">
        <is>
          <t>-0,23%</t>
        </is>
      </c>
      <c r="CV168" s="238" t="inlineStr">
        <is>
          <t>3</t>
        </is>
      </c>
      <c r="CW168" s="239" t="inlineStr">
        <is>
          <t>1,96x</t>
        </is>
      </c>
      <c r="CX168" s="240" t="inlineStr">
        <is>
          <t>64</t>
        </is>
      </c>
      <c r="CY168" s="241" t="inlineStr">
        <is>
          <t>0,00x</t>
        </is>
      </c>
      <c r="CZ168" s="242" t="inlineStr">
        <is>
          <t>0,16%</t>
        </is>
      </c>
      <c r="DA168" s="243" t="inlineStr">
        <is>
          <t>0,81x</t>
        </is>
      </c>
      <c r="DB168" s="244" t="inlineStr">
        <is>
          <t>46</t>
        </is>
      </c>
      <c r="DC168" s="245" t="inlineStr">
        <is>
          <t>4,40x</t>
        </is>
      </c>
      <c r="DD168" s="246" t="inlineStr">
        <is>
          <t>74</t>
        </is>
      </c>
      <c r="DE168" s="247" t="inlineStr">
        <is>
          <t>0,81x</t>
        </is>
      </c>
      <c r="DF168" s="248" t="inlineStr">
        <is>
          <t>45</t>
        </is>
      </c>
      <c r="DG168" s="249" t="inlineStr">
        <is>
          <t/>
        </is>
      </c>
      <c r="DH168" s="250" t="inlineStr">
        <is>
          <t/>
        </is>
      </c>
      <c r="DI168" s="251" t="inlineStr">
        <is>
          <t>3,47x</t>
        </is>
      </c>
      <c r="DJ168" s="252" t="inlineStr">
        <is>
          <t>70</t>
        </is>
      </c>
      <c r="DK168" s="253" t="inlineStr">
        <is>
          <t>5,33x</t>
        </is>
      </c>
      <c r="DL168" s="254" t="inlineStr">
        <is>
          <t>80</t>
        </is>
      </c>
      <c r="DM168" s="255" t="inlineStr">
        <is>
          <t>517</t>
        </is>
      </c>
      <c r="DN168" s="256" t="inlineStr">
        <is>
          <t>-1.075</t>
        </is>
      </c>
      <c r="DO168" s="257" t="inlineStr">
        <is>
          <t>-67,53%</t>
        </is>
      </c>
      <c r="DP168" s="258" t="inlineStr">
        <is>
          <t>2.743</t>
        </is>
      </c>
      <c r="DQ168" s="259" t="inlineStr">
        <is>
          <t>5</t>
        </is>
      </c>
      <c r="DR168" s="260" t="inlineStr">
        <is>
          <t>0,18%</t>
        </is>
      </c>
      <c r="DS168" s="261" t="inlineStr">
        <is>
          <t/>
        </is>
      </c>
      <c r="DT168" s="262" t="inlineStr">
        <is>
          <t/>
        </is>
      </c>
      <c r="DU168" s="263" t="inlineStr">
        <is>
          <t/>
        </is>
      </c>
      <c r="DV168" s="264" t="inlineStr">
        <is>
          <t>1.991</t>
        </is>
      </c>
      <c r="DW168" s="265" t="inlineStr">
        <is>
          <t>0</t>
        </is>
      </c>
      <c r="DX168" s="266" t="inlineStr">
        <is>
          <t>0,00%</t>
        </is>
      </c>
      <c r="DY168" s="267" t="inlineStr">
        <is>
          <t>PitchBook Research</t>
        </is>
      </c>
      <c r="DZ168" s="786">
        <f>HYPERLINK("https://my.pitchbook.com?c=99136-63", "View company online")</f>
      </c>
    </row>
    <row r="169">
      <c r="A169" s="9" t="inlineStr">
        <is>
          <t>58243-15</t>
        </is>
      </c>
      <c r="B169" s="10" t="inlineStr">
        <is>
          <t>BehavioSec</t>
        </is>
      </c>
      <c r="C169" s="11" t="inlineStr">
        <is>
          <t/>
        </is>
      </c>
      <c r="D169" s="12" t="inlineStr">
        <is>
          <t/>
        </is>
      </c>
      <c r="E169" s="13" t="inlineStr">
        <is>
          <t>58243-15</t>
        </is>
      </c>
      <c r="F169" s="14" t="inlineStr">
        <is>
          <t>Developer of a behavioral biometric software platform designed to create strong, multilayered customer security. The company's behavioral biometric software platform uses continuous machine learning to authenticate users based, not on what they do, but on how they do and algorithm that can verify who someone is based on how they naturally interact with their device and deliver instant identity verification, along with continuous authentication, enabling users to stop fraud, prevent cyber attacks and improve verification system.</t>
        </is>
      </c>
      <c r="G169" s="15" t="inlineStr">
        <is>
          <t>Information Technology</t>
        </is>
      </c>
      <c r="H169" s="16" t="inlineStr">
        <is>
          <t>Software</t>
        </is>
      </c>
      <c r="I169" s="17" t="inlineStr">
        <is>
          <t>Network Management Software</t>
        </is>
      </c>
      <c r="J169" s="18" t="inlineStr">
        <is>
          <t>Network Management Software*; Application Software</t>
        </is>
      </c>
      <c r="K169" s="19" t="inlineStr">
        <is>
          <t>Artificial Intelligence &amp; Machine Learning, Big Data, Cybersecurity</t>
        </is>
      </c>
      <c r="L169" s="20" t="inlineStr">
        <is>
          <t>Venture Capital-Backed</t>
        </is>
      </c>
      <c r="M169" s="21" t="n">
        <v>7.19</v>
      </c>
      <c r="N169" s="22" t="inlineStr">
        <is>
          <t>Generating Revenue</t>
        </is>
      </c>
      <c r="O169" s="23" t="inlineStr">
        <is>
          <t>Privately Held (backing)</t>
        </is>
      </c>
      <c r="P169" s="24" t="inlineStr">
        <is>
          <t>Venture Capital</t>
        </is>
      </c>
      <c r="Q169" s="25" t="inlineStr">
        <is>
          <t>www.behaviosec.com</t>
        </is>
      </c>
      <c r="R169" s="26" t="n">
        <v>23.0</v>
      </c>
      <c r="S169" s="27" t="inlineStr">
        <is>
          <t/>
        </is>
      </c>
      <c r="T169" s="28" t="inlineStr">
        <is>
          <t/>
        </is>
      </c>
      <c r="U169" s="29" t="n">
        <v>2006.0</v>
      </c>
      <c r="V169" s="30" t="inlineStr">
        <is>
          <t/>
        </is>
      </c>
      <c r="W169" s="31" t="inlineStr">
        <is>
          <t/>
        </is>
      </c>
      <c r="X169" s="32" t="inlineStr">
        <is>
          <t/>
        </is>
      </c>
      <c r="Y169" s="33" t="inlineStr">
        <is>
          <t/>
        </is>
      </c>
      <c r="Z169" s="34" t="inlineStr">
        <is>
          <t/>
        </is>
      </c>
      <c r="AA169" s="35" t="inlineStr">
        <is>
          <t/>
        </is>
      </c>
      <c r="AB169" s="36" t="inlineStr">
        <is>
          <t/>
        </is>
      </c>
      <c r="AC169" s="37" t="inlineStr">
        <is>
          <t/>
        </is>
      </c>
      <c r="AD169" s="38" t="inlineStr">
        <is>
          <t/>
        </is>
      </c>
      <c r="AE169" s="39" t="inlineStr">
        <is>
          <t>56244-79P</t>
        </is>
      </c>
      <c r="AF169" s="40" t="inlineStr">
        <is>
          <t>Olov Renberg</t>
        </is>
      </c>
      <c r="AG169" s="41" t="inlineStr">
        <is>
          <t>Chief Operating Officer &amp; Co-Founder</t>
        </is>
      </c>
      <c r="AH169" s="42" t="inlineStr">
        <is>
          <t>orenberg@behaviosec.com</t>
        </is>
      </c>
      <c r="AI169" s="43" t="inlineStr">
        <is>
          <t/>
        </is>
      </c>
      <c r="AJ169" s="44" t="inlineStr">
        <is>
          <t>Stockholm, Sweden</t>
        </is>
      </c>
      <c r="AK169" s="45" t="inlineStr">
        <is>
          <t>Västra Trädgårdsgatan 11</t>
        </is>
      </c>
      <c r="AL169" s="46" t="inlineStr">
        <is>
          <t/>
        </is>
      </c>
      <c r="AM169" s="47" t="inlineStr">
        <is>
          <t>Stockholm</t>
        </is>
      </c>
      <c r="AN169" s="48" t="inlineStr">
        <is>
          <t/>
        </is>
      </c>
      <c r="AO169" s="49" t="inlineStr">
        <is>
          <t>111 53</t>
        </is>
      </c>
      <c r="AP169" s="50" t="inlineStr">
        <is>
          <t>Sweden</t>
        </is>
      </c>
      <c r="AQ169" s="51" t="inlineStr">
        <is>
          <t/>
        </is>
      </c>
      <c r="AR169" s="52" t="inlineStr">
        <is>
          <t/>
        </is>
      </c>
      <c r="AS169" s="53" t="inlineStr">
        <is>
          <t>contact@behaviosec.com</t>
        </is>
      </c>
      <c r="AT169" s="54" t="inlineStr">
        <is>
          <t>Europe</t>
        </is>
      </c>
      <c r="AU169" s="55" t="inlineStr">
        <is>
          <t>Northern Europe</t>
        </is>
      </c>
      <c r="AV169" s="56" t="inlineStr">
        <is>
          <t>The company raised EUR 600,000 of Series A venture funding from Octopus Ventures and other undisclosed investors on February 13, 2017.</t>
        </is>
      </c>
      <c r="AW169" s="57" t="inlineStr">
        <is>
          <t>Arctic Business Incubator, Conor Venture Partners, FinTech Innovation Lab, Innovationsbron, Lunova, Norrlandsfonden, Northzone Ventures, Octopus Ventures, Partnerinvest Norr, Plug and Play Tech Center, PNF Venture Capital, PwC's Accelerator</t>
        </is>
      </c>
      <c r="AX169" s="58" t="n">
        <v>12.0</v>
      </c>
      <c r="AY169" s="59" t="inlineStr">
        <is>
          <t/>
        </is>
      </c>
      <c r="AZ169" s="60" t="inlineStr">
        <is>
          <t>Almi Invest</t>
        </is>
      </c>
      <c r="BA169" s="61" t="inlineStr">
        <is>
          <t/>
        </is>
      </c>
      <c r="BB169" s="62" t="inlineStr">
        <is>
          <t>Arctic Business Incubator (www.abi.se), Conor Venture Partners (www.conor.vc), FinTech Innovation Lab (www.fintechinnovationlab.com), Lunova (www.lunova.se), Norrlandsfonden (www.norrlandsfonden.se), Northzone Ventures (www.northzone.com), Octopus Ventures (www.octopusventures.com), Partnerinvest Norr (www.partnerinvestnorr.se), Plug and Play Tech Center (www.plugandplaytechcenter.com), PwC's Accelerator (www.pwcaccelerator.com)</t>
        </is>
      </c>
      <c r="BC169" s="63" t="inlineStr">
        <is>
          <t/>
        </is>
      </c>
      <c r="BD169" s="64" t="inlineStr">
        <is>
          <t/>
        </is>
      </c>
      <c r="BE169" s="65" t="inlineStr">
        <is>
          <t/>
        </is>
      </c>
      <c r="BF169" s="66" t="inlineStr">
        <is>
          <t/>
        </is>
      </c>
      <c r="BG169" s="67" t="inlineStr">
        <is>
          <t/>
        </is>
      </c>
      <c r="BH169" s="68" t="inlineStr">
        <is>
          <t/>
        </is>
      </c>
      <c r="BI169" s="69" t="inlineStr">
        <is>
          <t/>
        </is>
      </c>
      <c r="BJ169" s="70" t="inlineStr">
        <is>
          <t/>
        </is>
      </c>
      <c r="BK169" s="71" t="inlineStr">
        <is>
          <t/>
        </is>
      </c>
      <c r="BL169" s="72" t="inlineStr">
        <is>
          <t>Accelerator/Incubator</t>
        </is>
      </c>
      <c r="BM169" s="73" t="inlineStr">
        <is>
          <t/>
        </is>
      </c>
      <c r="BN169" s="74" t="inlineStr">
        <is>
          <t/>
        </is>
      </c>
      <c r="BO169" s="75" t="inlineStr">
        <is>
          <t>Other</t>
        </is>
      </c>
      <c r="BP169" s="76" t="inlineStr">
        <is>
          <t/>
        </is>
      </c>
      <c r="BQ169" s="77" t="inlineStr">
        <is>
          <t/>
        </is>
      </c>
      <c r="BR169" s="78" t="inlineStr">
        <is>
          <t/>
        </is>
      </c>
      <c r="BS169" s="79" t="inlineStr">
        <is>
          <t>Completed</t>
        </is>
      </c>
      <c r="BT169" s="80" t="n">
        <v>42779.0</v>
      </c>
      <c r="BU169" s="81" t="n">
        <v>0.6</v>
      </c>
      <c r="BV169" s="82" t="inlineStr">
        <is>
          <t>Actual</t>
        </is>
      </c>
      <c r="BW169" s="83" t="inlineStr">
        <is>
          <t/>
        </is>
      </c>
      <c r="BX169" s="84" t="inlineStr">
        <is>
          <t/>
        </is>
      </c>
      <c r="BY169" s="85" t="inlineStr">
        <is>
          <t>Later Stage VC</t>
        </is>
      </c>
      <c r="BZ169" s="86" t="inlineStr">
        <is>
          <t>Series A</t>
        </is>
      </c>
      <c r="CA169" s="87" t="inlineStr">
        <is>
          <t/>
        </is>
      </c>
      <c r="CB169" s="88" t="inlineStr">
        <is>
          <t>Venture Capital</t>
        </is>
      </c>
      <c r="CC169" s="89" t="inlineStr">
        <is>
          <t/>
        </is>
      </c>
      <c r="CD169" s="90" t="inlineStr">
        <is>
          <t/>
        </is>
      </c>
      <c r="CE169" s="91" t="inlineStr">
        <is>
          <t/>
        </is>
      </c>
      <c r="CF169" s="92" t="inlineStr">
        <is>
          <t>Completed</t>
        </is>
      </c>
      <c r="CG169" s="93" t="inlineStr">
        <is>
          <t>-0,39%</t>
        </is>
      </c>
      <c r="CH169" s="94" t="inlineStr">
        <is>
          <t>20</t>
        </is>
      </c>
      <c r="CI169" s="95" t="inlineStr">
        <is>
          <t>-0,02%</t>
        </is>
      </c>
      <c r="CJ169" s="96" t="inlineStr">
        <is>
          <t>-4,74%</t>
        </is>
      </c>
      <c r="CK169" s="97" t="inlineStr">
        <is>
          <t>-0,89%</t>
        </is>
      </c>
      <c r="CL169" s="98" t="inlineStr">
        <is>
          <t>20</t>
        </is>
      </c>
      <c r="CM169" s="99" t="inlineStr">
        <is>
          <t>0,10%</t>
        </is>
      </c>
      <c r="CN169" s="100" t="inlineStr">
        <is>
          <t>58</t>
        </is>
      </c>
      <c r="CO169" s="101" t="inlineStr">
        <is>
          <t>-0,90%</t>
        </is>
      </c>
      <c r="CP169" s="102" t="inlineStr">
        <is>
          <t>34</t>
        </is>
      </c>
      <c r="CQ169" s="103" t="inlineStr">
        <is>
          <t>-0,88%</t>
        </is>
      </c>
      <c r="CR169" s="104" t="inlineStr">
        <is>
          <t>11</t>
        </is>
      </c>
      <c r="CS169" s="105" t="inlineStr">
        <is>
          <t>-0,12%</t>
        </is>
      </c>
      <c r="CT169" s="106" t="inlineStr">
        <is>
          <t>2</t>
        </is>
      </c>
      <c r="CU169" s="107" t="inlineStr">
        <is>
          <t>0,32%</t>
        </is>
      </c>
      <c r="CV169" s="108" t="inlineStr">
        <is>
          <t>84</t>
        </is>
      </c>
      <c r="CW169" s="109" t="inlineStr">
        <is>
          <t>4,27x</t>
        </is>
      </c>
      <c r="CX169" s="110" t="inlineStr">
        <is>
          <t>78</t>
        </is>
      </c>
      <c r="CY169" s="111" t="inlineStr">
        <is>
          <t>-0,04x</t>
        </is>
      </c>
      <c r="CZ169" s="112" t="inlineStr">
        <is>
          <t>-1,02%</t>
        </is>
      </c>
      <c r="DA169" s="113" t="inlineStr">
        <is>
          <t>6,98x</t>
        </is>
      </c>
      <c r="DB169" s="114" t="inlineStr">
        <is>
          <t>85</t>
        </is>
      </c>
      <c r="DC169" s="115" t="inlineStr">
        <is>
          <t>1,56x</t>
        </is>
      </c>
      <c r="DD169" s="116" t="inlineStr">
        <is>
          <t>57</t>
        </is>
      </c>
      <c r="DE169" s="117" t="inlineStr">
        <is>
          <t>1,09x</t>
        </is>
      </c>
      <c r="DF169" s="118" t="inlineStr">
        <is>
          <t>52</t>
        </is>
      </c>
      <c r="DG169" s="119" t="inlineStr">
        <is>
          <t>12,86x</t>
        </is>
      </c>
      <c r="DH169" s="120" t="inlineStr">
        <is>
          <t>90</t>
        </is>
      </c>
      <c r="DI169" s="121" t="inlineStr">
        <is>
          <t>0,27x</t>
        </is>
      </c>
      <c r="DJ169" s="122" t="inlineStr">
        <is>
          <t>28</t>
        </is>
      </c>
      <c r="DK169" s="123" t="inlineStr">
        <is>
          <t>2,86x</t>
        </is>
      </c>
      <c r="DL169" s="124" t="inlineStr">
        <is>
          <t>70</t>
        </is>
      </c>
      <c r="DM169" s="125" t="inlineStr">
        <is>
          <t>396</t>
        </is>
      </c>
      <c r="DN169" s="126" t="inlineStr">
        <is>
          <t>46</t>
        </is>
      </c>
      <c r="DO169" s="127" t="inlineStr">
        <is>
          <t>13,14%</t>
        </is>
      </c>
      <c r="DP169" s="128" t="inlineStr">
        <is>
          <t>211</t>
        </is>
      </c>
      <c r="DQ169" s="129" t="inlineStr">
        <is>
          <t>0</t>
        </is>
      </c>
      <c r="DR169" s="130" t="inlineStr">
        <is>
          <t>0,00%</t>
        </is>
      </c>
      <c r="DS169" s="131" t="inlineStr">
        <is>
          <t>465</t>
        </is>
      </c>
      <c r="DT169" s="132" t="inlineStr">
        <is>
          <t>-4</t>
        </is>
      </c>
      <c r="DU169" s="133" t="inlineStr">
        <is>
          <t>-0,85%</t>
        </is>
      </c>
      <c r="DV169" s="134" t="inlineStr">
        <is>
          <t>1.068</t>
        </is>
      </c>
      <c r="DW169" s="135" t="inlineStr">
        <is>
          <t>-1</t>
        </is>
      </c>
      <c r="DX169" s="136" t="inlineStr">
        <is>
          <t>-0,09%</t>
        </is>
      </c>
      <c r="DY169" s="137" t="inlineStr">
        <is>
          <t>PitchBook Research</t>
        </is>
      </c>
      <c r="DZ169" s="785">
        <f>HYPERLINK("https://my.pitchbook.com?c=58243-15", "View company online")</f>
      </c>
    </row>
    <row r="170">
      <c r="A170" s="139" t="inlineStr">
        <is>
          <t>58145-50</t>
        </is>
      </c>
      <c r="B170" s="140" t="inlineStr">
        <is>
          <t>Cloud.IQ</t>
        </is>
      </c>
      <c r="C170" s="141" t="inlineStr">
        <is>
          <t/>
        </is>
      </c>
      <c r="D170" s="142" t="inlineStr">
        <is>
          <t/>
        </is>
      </c>
      <c r="E170" s="143" t="inlineStr">
        <is>
          <t>58145-50</t>
        </is>
      </c>
      <c r="F170" s="144" t="inlineStr">
        <is>
          <t>Provider of an automated eCommerce conversion platform designed to optimize customer conversion rate. The company's eCommerce conversion platform uses real-time data analytics and cart recovery technology for customer conversion, enabling businesses to improve customer conversion rate throughout the buying process.</t>
        </is>
      </c>
      <c r="G170" s="145" t="inlineStr">
        <is>
          <t>Information Technology</t>
        </is>
      </c>
      <c r="H170" s="146" t="inlineStr">
        <is>
          <t>Software</t>
        </is>
      </c>
      <c r="I170" s="147" t="inlineStr">
        <is>
          <t>Application Software</t>
        </is>
      </c>
      <c r="J170" s="148" t="inlineStr">
        <is>
          <t>Application Software*; Business/Productivity Software</t>
        </is>
      </c>
      <c r="K170" s="149" t="inlineStr">
        <is>
          <t>Marketing Tech, Mobile, SaaS</t>
        </is>
      </c>
      <c r="L170" s="150" t="inlineStr">
        <is>
          <t>Venture Capital-Backed</t>
        </is>
      </c>
      <c r="M170" s="151" t="n">
        <v>7.0</v>
      </c>
      <c r="N170" s="152" t="inlineStr">
        <is>
          <t>Product Development</t>
        </is>
      </c>
      <c r="O170" s="153" t="inlineStr">
        <is>
          <t>Privately Held (backing)</t>
        </is>
      </c>
      <c r="P170" s="154" t="inlineStr">
        <is>
          <t>Venture Capital</t>
        </is>
      </c>
      <c r="Q170" s="155" t="inlineStr">
        <is>
          <t>www.cloud-iq.com</t>
        </is>
      </c>
      <c r="R170" s="156" t="n">
        <v>35.0</v>
      </c>
      <c r="S170" s="157" t="inlineStr">
        <is>
          <t/>
        </is>
      </c>
      <c r="T170" s="158" t="inlineStr">
        <is>
          <t/>
        </is>
      </c>
      <c r="U170" s="159" t="n">
        <v>2005.0</v>
      </c>
      <c r="V170" s="160" t="inlineStr">
        <is>
          <t/>
        </is>
      </c>
      <c r="W170" s="161" t="inlineStr">
        <is>
          <t/>
        </is>
      </c>
      <c r="X170" s="162" t="inlineStr">
        <is>
          <t/>
        </is>
      </c>
      <c r="Y170" s="163" t="n">
        <v>0.37389</v>
      </c>
      <c r="Z170" s="164" t="n">
        <v>0.28232</v>
      </c>
      <c r="AA170" s="165" t="n">
        <v>-0.84697</v>
      </c>
      <c r="AB170" s="166" t="inlineStr">
        <is>
          <t/>
        </is>
      </c>
      <c r="AC170" s="167" t="n">
        <v>-0.73252</v>
      </c>
      <c r="AD170" s="168" t="inlineStr">
        <is>
          <t>FY 2012</t>
        </is>
      </c>
      <c r="AE170" s="169" t="inlineStr">
        <is>
          <t>46303-12P</t>
        </is>
      </c>
      <c r="AF170" s="170" t="inlineStr">
        <is>
          <t>Tim Perks</t>
        </is>
      </c>
      <c r="AG170" s="171" t="inlineStr">
        <is>
          <t>Chief Financial Officer</t>
        </is>
      </c>
      <c r="AH170" s="172" t="inlineStr">
        <is>
          <t>tim.perks@cloud-iq.com</t>
        </is>
      </c>
      <c r="AI170" s="173" t="inlineStr">
        <is>
          <t>+44 (0)84 5498 9426</t>
        </is>
      </c>
      <c r="AJ170" s="174" t="inlineStr">
        <is>
          <t>London, United Kingdom</t>
        </is>
      </c>
      <c r="AK170" s="175" t="inlineStr">
        <is>
          <t>Falkirk Street</t>
        </is>
      </c>
      <c r="AL170" s="176" t="inlineStr">
        <is>
          <t/>
        </is>
      </c>
      <c r="AM170" s="177" t="inlineStr">
        <is>
          <t>London</t>
        </is>
      </c>
      <c r="AN170" s="178" t="inlineStr">
        <is>
          <t>England</t>
        </is>
      </c>
      <c r="AO170" s="179" t="inlineStr">
        <is>
          <t>N1 6HQ</t>
        </is>
      </c>
      <c r="AP170" s="180" t="inlineStr">
        <is>
          <t>United Kingdom</t>
        </is>
      </c>
      <c r="AQ170" s="181" t="inlineStr">
        <is>
          <t>+44 (0)84 5498 9426</t>
        </is>
      </c>
      <c r="AR170" s="182" t="inlineStr">
        <is>
          <t/>
        </is>
      </c>
      <c r="AS170" s="183" t="inlineStr">
        <is>
          <t>uk@cloud-iq.com</t>
        </is>
      </c>
      <c r="AT170" s="184" t="inlineStr">
        <is>
          <t>Europe</t>
        </is>
      </c>
      <c r="AU170" s="185" t="inlineStr">
        <is>
          <t>Western Europe</t>
        </is>
      </c>
      <c r="AV170" s="186" t="inlineStr">
        <is>
          <t>The company raised GBP 4 million of Series A venture funding in a deal led by Nauta Capital on July 31, 2017. PayPal (NASDAQ: PYPL), Finance Wales and Juno Capital also participated in the round. The funds will be used to democratize digital marketing, enabling businesses of all sizes to deliver dynamic individual user experiences that are beneficial to both consumers and the merchant, fund international expansion, new product development, expand its senior and engineering team and opening a customer service centre in Cardiff.</t>
        </is>
      </c>
      <c r="AW170" s="187" t="inlineStr">
        <is>
          <t>Accelerator (London), Bridges Fund Management, Development Bank of Wales, Innovate UK, Juno Capital, Nauta Capital, NSW Trade &amp; Investment, Paypal</t>
        </is>
      </c>
      <c r="AX170" s="188" t="n">
        <v>8.0</v>
      </c>
      <c r="AY170" s="189" t="inlineStr">
        <is>
          <t/>
        </is>
      </c>
      <c r="AZ170" s="190" t="inlineStr">
        <is>
          <t/>
        </is>
      </c>
      <c r="BA170" s="191" t="inlineStr">
        <is>
          <t/>
        </is>
      </c>
      <c r="BB170" s="192" t="inlineStr">
        <is>
          <t>Accelerator (London) (accelerator-london.com), Bridges Fund Management (www.bridgesfundmanagement.com), Development Bank of Wales (www.developmentbank.wales), Innovate UK (www.gov.uk), Juno Capital (www.junocapital.co.uk), Nauta Capital (www.nautacapital.com), NSW Trade &amp; Investment (www.industry.nsw.gov.au), Paypal (www.paypal.com)</t>
        </is>
      </c>
      <c r="BC170" s="193" t="inlineStr">
        <is>
          <t/>
        </is>
      </c>
      <c r="BD170" s="194" t="inlineStr">
        <is>
          <t/>
        </is>
      </c>
      <c r="BE170" s="195" t="inlineStr">
        <is>
          <t/>
        </is>
      </c>
      <c r="BF170" s="196" t="inlineStr">
        <is>
          <t>Armada Ventures (Advisor: General)</t>
        </is>
      </c>
      <c r="BG170" s="197" t="n">
        <v>41044.0</v>
      </c>
      <c r="BH170" s="198" t="n">
        <v>2.48</v>
      </c>
      <c r="BI170" s="199" t="inlineStr">
        <is>
          <t>Actual</t>
        </is>
      </c>
      <c r="BJ170" s="200" t="inlineStr">
        <is>
          <t/>
        </is>
      </c>
      <c r="BK170" s="201" t="inlineStr">
        <is>
          <t/>
        </is>
      </c>
      <c r="BL170" s="202" t="inlineStr">
        <is>
          <t>Later Stage VC</t>
        </is>
      </c>
      <c r="BM170" s="203" t="inlineStr">
        <is>
          <t/>
        </is>
      </c>
      <c r="BN170" s="204" t="inlineStr">
        <is>
          <t/>
        </is>
      </c>
      <c r="BO170" s="205" t="inlineStr">
        <is>
          <t>Venture Capital</t>
        </is>
      </c>
      <c r="BP170" s="206" t="inlineStr">
        <is>
          <t/>
        </is>
      </c>
      <c r="BQ170" s="207" t="inlineStr">
        <is>
          <t/>
        </is>
      </c>
      <c r="BR170" s="208" t="inlineStr">
        <is>
          <t/>
        </is>
      </c>
      <c r="BS170" s="209" t="inlineStr">
        <is>
          <t>Completed</t>
        </is>
      </c>
      <c r="BT170" s="210" t="n">
        <v>42947.0</v>
      </c>
      <c r="BU170" s="211" t="n">
        <v>4.52</v>
      </c>
      <c r="BV170" s="212" t="inlineStr">
        <is>
          <t>Actual</t>
        </is>
      </c>
      <c r="BW170" s="213" t="inlineStr">
        <is>
          <t/>
        </is>
      </c>
      <c r="BX170" s="214" t="inlineStr">
        <is>
          <t/>
        </is>
      </c>
      <c r="BY170" s="215" t="inlineStr">
        <is>
          <t>Later Stage VC</t>
        </is>
      </c>
      <c r="BZ170" s="216" t="inlineStr">
        <is>
          <t>Series A</t>
        </is>
      </c>
      <c r="CA170" s="217" t="inlineStr">
        <is>
          <t/>
        </is>
      </c>
      <c r="CB170" s="218" t="inlineStr">
        <is>
          <t>Venture Capital</t>
        </is>
      </c>
      <c r="CC170" s="219" t="inlineStr">
        <is>
          <t/>
        </is>
      </c>
      <c r="CD170" s="220" t="inlineStr">
        <is>
          <t/>
        </is>
      </c>
      <c r="CE170" s="221" t="inlineStr">
        <is>
          <t/>
        </is>
      </c>
      <c r="CF170" s="222" t="inlineStr">
        <is>
          <t>Completed</t>
        </is>
      </c>
      <c r="CG170" s="223" t="inlineStr">
        <is>
          <t>-3,74%</t>
        </is>
      </c>
      <c r="CH170" s="224" t="inlineStr">
        <is>
          <t>5</t>
        </is>
      </c>
      <c r="CI170" s="225" t="inlineStr">
        <is>
          <t>0,03%</t>
        </is>
      </c>
      <c r="CJ170" s="226" t="inlineStr">
        <is>
          <t>0,70%</t>
        </is>
      </c>
      <c r="CK170" s="227" t="inlineStr">
        <is>
          <t>-7,65%</t>
        </is>
      </c>
      <c r="CL170" s="228" t="inlineStr">
        <is>
          <t>5</t>
        </is>
      </c>
      <c r="CM170" s="229" t="inlineStr">
        <is>
          <t>0,17%</t>
        </is>
      </c>
      <c r="CN170" s="230" t="inlineStr">
        <is>
          <t>68</t>
        </is>
      </c>
      <c r="CO170" s="231" t="inlineStr">
        <is>
          <t>-14,85%</t>
        </is>
      </c>
      <c r="CP170" s="232" t="inlineStr">
        <is>
          <t>8</t>
        </is>
      </c>
      <c r="CQ170" s="233" t="inlineStr">
        <is>
          <t>-0,44%</t>
        </is>
      </c>
      <c r="CR170" s="234" t="inlineStr">
        <is>
          <t>16</t>
        </is>
      </c>
      <c r="CS170" s="235" t="inlineStr">
        <is>
          <t>0,23%</t>
        </is>
      </c>
      <c r="CT170" s="236" t="inlineStr">
        <is>
          <t>72</t>
        </is>
      </c>
      <c r="CU170" s="237" t="inlineStr">
        <is>
          <t>0,11%</t>
        </is>
      </c>
      <c r="CV170" s="238" t="inlineStr">
        <is>
          <t>67</t>
        </is>
      </c>
      <c r="CW170" s="239" t="inlineStr">
        <is>
          <t>3,15x</t>
        </is>
      </c>
      <c r="CX170" s="240" t="inlineStr">
        <is>
          <t>73</t>
        </is>
      </c>
      <c r="CY170" s="241" t="inlineStr">
        <is>
          <t>-0,01x</t>
        </is>
      </c>
      <c r="CZ170" s="242" t="inlineStr">
        <is>
          <t>-0,38%</t>
        </is>
      </c>
      <c r="DA170" s="243" t="inlineStr">
        <is>
          <t>4,72x</t>
        </is>
      </c>
      <c r="DB170" s="244" t="inlineStr">
        <is>
          <t>80</t>
        </is>
      </c>
      <c r="DC170" s="245" t="inlineStr">
        <is>
          <t>1,58x</t>
        </is>
      </c>
      <c r="DD170" s="246" t="inlineStr">
        <is>
          <t>57</t>
        </is>
      </c>
      <c r="DE170" s="247" t="inlineStr">
        <is>
          <t>2,52x</t>
        </is>
      </c>
      <c r="DF170" s="248" t="inlineStr">
        <is>
          <t>70</t>
        </is>
      </c>
      <c r="DG170" s="249" t="inlineStr">
        <is>
          <t>6,92x</t>
        </is>
      </c>
      <c r="DH170" s="250" t="inlineStr">
        <is>
          <t>83</t>
        </is>
      </c>
      <c r="DI170" s="251" t="inlineStr">
        <is>
          <t>0,21x</t>
        </is>
      </c>
      <c r="DJ170" s="252" t="inlineStr">
        <is>
          <t>24</t>
        </is>
      </c>
      <c r="DK170" s="253" t="inlineStr">
        <is>
          <t>2,95x</t>
        </is>
      </c>
      <c r="DL170" s="254" t="inlineStr">
        <is>
          <t>71</t>
        </is>
      </c>
      <c r="DM170" s="255" t="inlineStr">
        <is>
          <t>1.130</t>
        </is>
      </c>
      <c r="DN170" s="256" t="inlineStr">
        <is>
          <t>-583</t>
        </is>
      </c>
      <c r="DO170" s="257" t="inlineStr">
        <is>
          <t>-34,03%</t>
        </is>
      </c>
      <c r="DP170" s="258" t="inlineStr">
        <is>
          <t>167</t>
        </is>
      </c>
      <c r="DQ170" s="259" t="inlineStr">
        <is>
          <t>1</t>
        </is>
      </c>
      <c r="DR170" s="260" t="inlineStr">
        <is>
          <t>0,60%</t>
        </is>
      </c>
      <c r="DS170" s="261" t="inlineStr">
        <is>
          <t>249</t>
        </is>
      </c>
      <c r="DT170" s="262" t="inlineStr">
        <is>
          <t>-1</t>
        </is>
      </c>
      <c r="DU170" s="263" t="inlineStr">
        <is>
          <t>-0,40%</t>
        </is>
      </c>
      <c r="DV170" s="264" t="inlineStr">
        <is>
          <t>1.101</t>
        </is>
      </c>
      <c r="DW170" s="265" t="inlineStr">
        <is>
          <t>4</t>
        </is>
      </c>
      <c r="DX170" s="266" t="inlineStr">
        <is>
          <t>0,36%</t>
        </is>
      </c>
      <c r="DY170" s="267" t="inlineStr">
        <is>
          <t>PitchBook Research</t>
        </is>
      </c>
      <c r="DZ170" s="786">
        <f>HYPERLINK("https://my.pitchbook.com?c=58145-50", "View company online")</f>
      </c>
    </row>
    <row r="171">
      <c r="A171" s="9" t="inlineStr">
        <is>
          <t>96632-02</t>
        </is>
      </c>
      <c r="B171" s="10" t="inlineStr">
        <is>
          <t>RepKnight</t>
        </is>
      </c>
      <c r="C171" s="11" t="inlineStr">
        <is>
          <t>Rejo Systems Ltd</t>
        </is>
      </c>
      <c r="D171" s="12" t="inlineStr">
        <is>
          <t/>
        </is>
      </c>
      <c r="E171" s="13" t="inlineStr">
        <is>
          <t>96632-02</t>
        </is>
      </c>
      <c r="F171" s="14" t="inlineStr">
        <is>
          <t>Provider of social media and data monitoring platform. The company provides a software platform that allows for the monitoring of keys words and conversations through social media channels.</t>
        </is>
      </c>
      <c r="G171" s="15" t="inlineStr">
        <is>
          <t>Information Technology</t>
        </is>
      </c>
      <c r="H171" s="16" t="inlineStr">
        <is>
          <t>IT Services</t>
        </is>
      </c>
      <c r="I171" s="17" t="inlineStr">
        <is>
          <t>IT Consulting and Outsourcing</t>
        </is>
      </c>
      <c r="J171" s="18" t="inlineStr">
        <is>
          <t>IT Consulting and Outsourcing*; Media and Information Services (B2B); Social/Platform Software</t>
        </is>
      </c>
      <c r="K171" s="19" t="inlineStr">
        <is>
          <t>Cybersecurity</t>
        </is>
      </c>
      <c r="L171" s="20" t="inlineStr">
        <is>
          <t>Venture Capital-Backed</t>
        </is>
      </c>
      <c r="M171" s="21" t="n">
        <v>6.89</v>
      </c>
      <c r="N171" s="22" t="inlineStr">
        <is>
          <t>Generating Revenue</t>
        </is>
      </c>
      <c r="O171" s="23" t="inlineStr">
        <is>
          <t>Privately Held (backing)</t>
        </is>
      </c>
      <c r="P171" s="24" t="inlineStr">
        <is>
          <t>Venture Capital</t>
        </is>
      </c>
      <c r="Q171" s="25" t="inlineStr">
        <is>
          <t>www.repknight.com</t>
        </is>
      </c>
      <c r="R171" s="26" t="n">
        <v>20.0</v>
      </c>
      <c r="S171" s="27" t="inlineStr">
        <is>
          <t/>
        </is>
      </c>
      <c r="T171" s="28" t="inlineStr">
        <is>
          <t/>
        </is>
      </c>
      <c r="U171" s="29" t="n">
        <v>2007.0</v>
      </c>
      <c r="V171" s="30" t="inlineStr">
        <is>
          <t/>
        </is>
      </c>
      <c r="W171" s="31" t="inlineStr">
        <is>
          <t/>
        </is>
      </c>
      <c r="X171" s="32" t="inlineStr">
        <is>
          <t/>
        </is>
      </c>
      <c r="Y171" s="33" t="inlineStr">
        <is>
          <t/>
        </is>
      </c>
      <c r="Z171" s="34" t="inlineStr">
        <is>
          <t/>
        </is>
      </c>
      <c r="AA171" s="35" t="inlineStr">
        <is>
          <t/>
        </is>
      </c>
      <c r="AB171" s="36" t="inlineStr">
        <is>
          <t/>
        </is>
      </c>
      <c r="AC171" s="37" t="inlineStr">
        <is>
          <t/>
        </is>
      </c>
      <c r="AD171" s="38" t="inlineStr">
        <is>
          <t/>
        </is>
      </c>
      <c r="AE171" s="39" t="inlineStr">
        <is>
          <t>140633-20P</t>
        </is>
      </c>
      <c r="AF171" s="40" t="inlineStr">
        <is>
          <t>John Reid</t>
        </is>
      </c>
      <c r="AG171" s="41" t="inlineStr">
        <is>
          <t>Chief Executive Officer &amp; Founder</t>
        </is>
      </c>
      <c r="AH171" s="42" t="inlineStr">
        <is>
          <t/>
        </is>
      </c>
      <c r="AI171" s="43" t="inlineStr">
        <is>
          <t>+44 (0)28 9082 6226</t>
        </is>
      </c>
      <c r="AJ171" s="44" t="inlineStr">
        <is>
          <t>Belfast, United Kingdom</t>
        </is>
      </c>
      <c r="AK171" s="45" t="inlineStr">
        <is>
          <t>6B Weavers Court</t>
        </is>
      </c>
      <c r="AL171" s="46" t="inlineStr">
        <is>
          <t>Linfield Road Industrial Estate</t>
        </is>
      </c>
      <c r="AM171" s="47" t="inlineStr">
        <is>
          <t>Belfast</t>
        </is>
      </c>
      <c r="AN171" s="48" t="inlineStr">
        <is>
          <t>Northern Ireland</t>
        </is>
      </c>
      <c r="AO171" s="49" t="inlineStr">
        <is>
          <t>BT12 5GH</t>
        </is>
      </c>
      <c r="AP171" s="50" t="inlineStr">
        <is>
          <t>United Kingdom</t>
        </is>
      </c>
      <c r="AQ171" s="51" t="inlineStr">
        <is>
          <t>+44 (0)28 9082 6226</t>
        </is>
      </c>
      <c r="AR171" s="52" t="inlineStr">
        <is>
          <t/>
        </is>
      </c>
      <c r="AS171" s="53" t="inlineStr">
        <is>
          <t/>
        </is>
      </c>
      <c r="AT171" s="54" t="inlineStr">
        <is>
          <t>Europe</t>
        </is>
      </c>
      <c r="AU171" s="55" t="inlineStr">
        <is>
          <t>Western Europe</t>
        </is>
      </c>
      <c r="AV171" s="56" t="inlineStr">
        <is>
          <t>The company raised GBP 3 million of venture funding from undisclosed investors on February 15, 2017, putting the company's pre-money valuation at GBP 7 million. Previously, the company raised GBP 2.25 million of venture funding from undisclosed investors on November 29, 2016.</t>
        </is>
      </c>
      <c r="AW171" s="57" t="inlineStr">
        <is>
          <t>Black Green Capital</t>
        </is>
      </c>
      <c r="AX171" s="58" t="n">
        <v>1.0</v>
      </c>
      <c r="AY171" s="59" t="inlineStr">
        <is>
          <t/>
        </is>
      </c>
      <c r="AZ171" s="60" t="inlineStr">
        <is>
          <t/>
        </is>
      </c>
      <c r="BA171" s="61" t="inlineStr">
        <is>
          <t/>
        </is>
      </c>
      <c r="BB171" s="62" t="inlineStr">
        <is>
          <t>Black Green Capital (www.blackgreencapital.com)</t>
        </is>
      </c>
      <c r="BC171" s="63" t="inlineStr">
        <is>
          <t/>
        </is>
      </c>
      <c r="BD171" s="64" t="inlineStr">
        <is>
          <t/>
        </is>
      </c>
      <c r="BE171" s="65" t="inlineStr">
        <is>
          <t>Smith &amp; Williamson (Advisor: General), Future Fifty (Consulting)</t>
        </is>
      </c>
      <c r="BF171" s="66" t="inlineStr">
        <is>
          <t/>
        </is>
      </c>
      <c r="BG171" s="67" t="n">
        <v>41926.0</v>
      </c>
      <c r="BH171" s="68" t="n">
        <v>0.79</v>
      </c>
      <c r="BI171" s="69" t="inlineStr">
        <is>
          <t>Actual</t>
        </is>
      </c>
      <c r="BJ171" s="70" t="n">
        <v>2.37</v>
      </c>
      <c r="BK171" s="71" t="inlineStr">
        <is>
          <t>Actual</t>
        </is>
      </c>
      <c r="BL171" s="72" t="inlineStr">
        <is>
          <t>Seed Round</t>
        </is>
      </c>
      <c r="BM171" s="73" t="inlineStr">
        <is>
          <t>Seed</t>
        </is>
      </c>
      <c r="BN171" s="74" t="inlineStr">
        <is>
          <t/>
        </is>
      </c>
      <c r="BO171" s="75" t="inlineStr">
        <is>
          <t>Venture Capital</t>
        </is>
      </c>
      <c r="BP171" s="76" t="inlineStr">
        <is>
          <t/>
        </is>
      </c>
      <c r="BQ171" s="77" t="inlineStr">
        <is>
          <t/>
        </is>
      </c>
      <c r="BR171" s="78" t="inlineStr">
        <is>
          <t/>
        </is>
      </c>
      <c r="BS171" s="79" t="inlineStr">
        <is>
          <t>Completed</t>
        </is>
      </c>
      <c r="BT171" s="80" t="n">
        <v>42781.0</v>
      </c>
      <c r="BU171" s="81" t="n">
        <v>3.52</v>
      </c>
      <c r="BV171" s="82" t="inlineStr">
        <is>
          <t>Actual</t>
        </is>
      </c>
      <c r="BW171" s="83" t="n">
        <v>11.72</v>
      </c>
      <c r="BX171" s="84" t="inlineStr">
        <is>
          <t>Actual</t>
        </is>
      </c>
      <c r="BY171" s="85" t="inlineStr">
        <is>
          <t>Later Stage VC</t>
        </is>
      </c>
      <c r="BZ171" s="86" t="inlineStr">
        <is>
          <t/>
        </is>
      </c>
      <c r="CA171" s="87" t="inlineStr">
        <is>
          <t/>
        </is>
      </c>
      <c r="CB171" s="88" t="inlineStr">
        <is>
          <t>Venture Capital</t>
        </is>
      </c>
      <c r="CC171" s="89" t="inlineStr">
        <is>
          <t/>
        </is>
      </c>
      <c r="CD171" s="90" t="inlineStr">
        <is>
          <t/>
        </is>
      </c>
      <c r="CE171" s="91" t="inlineStr">
        <is>
          <t/>
        </is>
      </c>
      <c r="CF171" s="92" t="inlineStr">
        <is>
          <t>Completed</t>
        </is>
      </c>
      <c r="CG171" s="93" t="inlineStr">
        <is>
          <t>0,11%</t>
        </is>
      </c>
      <c r="CH171" s="94" t="inlineStr">
        <is>
          <t>83</t>
        </is>
      </c>
      <c r="CI171" s="95" t="inlineStr">
        <is>
          <t>0,01%</t>
        </is>
      </c>
      <c r="CJ171" s="96" t="inlineStr">
        <is>
          <t>4,89%</t>
        </is>
      </c>
      <c r="CK171" s="97" t="inlineStr">
        <is>
          <t>0,00%</t>
        </is>
      </c>
      <c r="CL171" s="98" t="inlineStr">
        <is>
          <t>28</t>
        </is>
      </c>
      <c r="CM171" s="99" t="inlineStr">
        <is>
          <t>0,22%</t>
        </is>
      </c>
      <c r="CN171" s="100" t="inlineStr">
        <is>
          <t>73</t>
        </is>
      </c>
      <c r="CO171" s="101" t="inlineStr">
        <is>
          <t>0,00%</t>
        </is>
      </c>
      <c r="CP171" s="102" t="inlineStr">
        <is>
          <t>37</t>
        </is>
      </c>
      <c r="CQ171" s="103" t="inlineStr">
        <is>
          <t/>
        </is>
      </c>
      <c r="CR171" s="104" t="inlineStr">
        <is>
          <t/>
        </is>
      </c>
      <c r="CS171" s="105" t="inlineStr">
        <is>
          <t>0,21%</t>
        </is>
      </c>
      <c r="CT171" s="106" t="inlineStr">
        <is>
          <t>70</t>
        </is>
      </c>
      <c r="CU171" s="107" t="inlineStr">
        <is>
          <t>0,24%</t>
        </is>
      </c>
      <c r="CV171" s="108" t="inlineStr">
        <is>
          <t>79</t>
        </is>
      </c>
      <c r="CW171" s="109" t="inlineStr">
        <is>
          <t>0,85x</t>
        </is>
      </c>
      <c r="CX171" s="110" t="inlineStr">
        <is>
          <t>45</t>
        </is>
      </c>
      <c r="CY171" s="111" t="inlineStr">
        <is>
          <t>0,00x</t>
        </is>
      </c>
      <c r="CZ171" s="112" t="inlineStr">
        <is>
          <t>-0,18%</t>
        </is>
      </c>
      <c r="DA171" s="113" t="inlineStr">
        <is>
          <t>0,50x</t>
        </is>
      </c>
      <c r="DB171" s="114" t="inlineStr">
        <is>
          <t>34</t>
        </is>
      </c>
      <c r="DC171" s="115" t="inlineStr">
        <is>
          <t>1,20x</t>
        </is>
      </c>
      <c r="DD171" s="116" t="inlineStr">
        <is>
          <t>52</t>
        </is>
      </c>
      <c r="DE171" s="117" t="inlineStr">
        <is>
          <t>0,50x</t>
        </is>
      </c>
      <c r="DF171" s="118" t="inlineStr">
        <is>
          <t>33</t>
        </is>
      </c>
      <c r="DG171" s="119" t="inlineStr">
        <is>
          <t/>
        </is>
      </c>
      <c r="DH171" s="120" t="inlineStr">
        <is>
          <t/>
        </is>
      </c>
      <c r="DI171" s="121" t="inlineStr">
        <is>
          <t>0,23x</t>
        </is>
      </c>
      <c r="DJ171" s="122" t="inlineStr">
        <is>
          <t>26</t>
        </is>
      </c>
      <c r="DK171" s="123" t="inlineStr">
        <is>
          <t>2,17x</t>
        </is>
      </c>
      <c r="DL171" s="124" t="inlineStr">
        <is>
          <t>65</t>
        </is>
      </c>
      <c r="DM171" s="125" t="inlineStr">
        <is>
          <t>182</t>
        </is>
      </c>
      <c r="DN171" s="126" t="inlineStr">
        <is>
          <t>11</t>
        </is>
      </c>
      <c r="DO171" s="127" t="inlineStr">
        <is>
          <t>6,43%</t>
        </is>
      </c>
      <c r="DP171" s="128" t="inlineStr">
        <is>
          <t>183</t>
        </is>
      </c>
      <c r="DQ171" s="129" t="inlineStr">
        <is>
          <t>0</t>
        </is>
      </c>
      <c r="DR171" s="130" t="inlineStr">
        <is>
          <t>0,00%</t>
        </is>
      </c>
      <c r="DS171" s="131" t="inlineStr">
        <is>
          <t/>
        </is>
      </c>
      <c r="DT171" s="132" t="inlineStr">
        <is>
          <t/>
        </is>
      </c>
      <c r="DU171" s="133" t="inlineStr">
        <is>
          <t/>
        </is>
      </c>
      <c r="DV171" s="134" t="inlineStr">
        <is>
          <t>806</t>
        </is>
      </c>
      <c r="DW171" s="135" t="inlineStr">
        <is>
          <t>2</t>
        </is>
      </c>
      <c r="DX171" s="136" t="inlineStr">
        <is>
          <t>0,25%</t>
        </is>
      </c>
      <c r="DY171" s="137" t="inlineStr">
        <is>
          <t>PitchBook Research</t>
        </is>
      </c>
      <c r="DZ171" s="785">
        <f>HYPERLINK("https://my.pitchbook.com?c=96632-02", "View company online")</f>
      </c>
    </row>
    <row r="172">
      <c r="A172" s="139" t="inlineStr">
        <is>
          <t>56922-13</t>
        </is>
      </c>
      <c r="B172" s="140" t="inlineStr">
        <is>
          <t>Qriously</t>
        </is>
      </c>
      <c r="C172" s="141" t="inlineStr">
        <is>
          <t>Urbian</t>
        </is>
      </c>
      <c r="D172" s="142" t="inlineStr">
        <is>
          <t/>
        </is>
      </c>
      <c r="E172" s="143" t="inlineStr">
        <is>
          <t>56922-13</t>
        </is>
      </c>
      <c r="F172" s="144" t="inlineStr">
        <is>
          <t>Developer of a research platform designed to access the mindset of billions of people globally by conducting short surveys in mobile applications. The company's research platform provides a service for measuring real-time, location-based public sentiment, enabling advertising agencies, marketers, research companies and small businesses to determine consumers' preferences and uncover consumer intent, which it then matches with mobile advertisements.</t>
        </is>
      </c>
      <c r="G172" s="145" t="inlineStr">
        <is>
          <t>Consumer Products and Services (B2C)</t>
        </is>
      </c>
      <c r="H172" s="146" t="inlineStr">
        <is>
          <t>Media</t>
        </is>
      </c>
      <c r="I172" s="147" t="inlineStr">
        <is>
          <t>Information Services (B2C)</t>
        </is>
      </c>
      <c r="J172" s="148" t="inlineStr">
        <is>
          <t>Information Services (B2C)*; Media and Information Services (B2B); Application Software</t>
        </is>
      </c>
      <c r="K172" s="149" t="inlineStr">
        <is>
          <t>AdTech, Artificial Intelligence &amp; Machine Learning, Mobile, SaaS</t>
        </is>
      </c>
      <c r="L172" s="150" t="inlineStr">
        <is>
          <t>Venture Capital-Backed</t>
        </is>
      </c>
      <c r="M172" s="151" t="n">
        <v>6.87</v>
      </c>
      <c r="N172" s="152" t="inlineStr">
        <is>
          <t>Generating Revenue</t>
        </is>
      </c>
      <c r="O172" s="153" t="inlineStr">
        <is>
          <t>Privately Held (backing)</t>
        </is>
      </c>
      <c r="P172" s="154" t="inlineStr">
        <is>
          <t>Venture Capital</t>
        </is>
      </c>
      <c r="Q172" s="155" t="inlineStr">
        <is>
          <t>www.qriously.com</t>
        </is>
      </c>
      <c r="R172" s="156" t="n">
        <v>23.0</v>
      </c>
      <c r="S172" s="157" t="inlineStr">
        <is>
          <t/>
        </is>
      </c>
      <c r="T172" s="158" t="inlineStr">
        <is>
          <t/>
        </is>
      </c>
      <c r="U172" s="159" t="n">
        <v>2008.0</v>
      </c>
      <c r="V172" s="160" t="inlineStr">
        <is>
          <t/>
        </is>
      </c>
      <c r="W172" s="161" t="inlineStr">
        <is>
          <t/>
        </is>
      </c>
      <c r="X172" s="162" t="inlineStr">
        <is>
          <t/>
        </is>
      </c>
      <c r="Y172" s="163" t="n">
        <v>2.56326</v>
      </c>
      <c r="Z172" s="164" t="n">
        <v>1.03816</v>
      </c>
      <c r="AA172" s="165" t="n">
        <v>-1.38728</v>
      </c>
      <c r="AB172" s="166" t="inlineStr">
        <is>
          <t/>
        </is>
      </c>
      <c r="AC172" s="167" t="n">
        <v>-1.76396</v>
      </c>
      <c r="AD172" s="168" t="inlineStr">
        <is>
          <t>FY 2015</t>
        </is>
      </c>
      <c r="AE172" s="169" t="inlineStr">
        <is>
          <t>49928-95P</t>
        </is>
      </c>
      <c r="AF172" s="170" t="inlineStr">
        <is>
          <t>Christopher Kahler</t>
        </is>
      </c>
      <c r="AG172" s="171" t="inlineStr">
        <is>
          <t>Co-Founder, Chief Executive Officer &amp; Board Member</t>
        </is>
      </c>
      <c r="AH172" s="172" t="inlineStr">
        <is>
          <t>c.kahler@qriously.com</t>
        </is>
      </c>
      <c r="AI172" s="173" t="inlineStr">
        <is>
          <t/>
        </is>
      </c>
      <c r="AJ172" s="174" t="inlineStr">
        <is>
          <t>London, United Kingdom</t>
        </is>
      </c>
      <c r="AK172" s="175" t="inlineStr">
        <is>
          <t>1 Hardwick Street</t>
        </is>
      </c>
      <c r="AL172" s="176" t="inlineStr">
        <is>
          <t/>
        </is>
      </c>
      <c r="AM172" s="177" t="inlineStr">
        <is>
          <t>London</t>
        </is>
      </c>
      <c r="AN172" s="178" t="inlineStr">
        <is>
          <t>England</t>
        </is>
      </c>
      <c r="AO172" s="179" t="inlineStr">
        <is>
          <t>EC1R 4RB</t>
        </is>
      </c>
      <c r="AP172" s="180" t="inlineStr">
        <is>
          <t>United Kingdom</t>
        </is>
      </c>
      <c r="AQ172" s="181" t="inlineStr">
        <is>
          <t/>
        </is>
      </c>
      <c r="AR172" s="182" t="inlineStr">
        <is>
          <t/>
        </is>
      </c>
      <c r="AS172" s="183" t="inlineStr">
        <is>
          <t>info@qriously.com</t>
        </is>
      </c>
      <c r="AT172" s="184" t="inlineStr">
        <is>
          <t>Europe</t>
        </is>
      </c>
      <c r="AU172" s="185" t="inlineStr">
        <is>
          <t>Western Europe</t>
        </is>
      </c>
      <c r="AV172" s="186" t="inlineStr">
        <is>
          <t>The company raised $3.1 million of venture funding from Raptor Group, InReach Ventures and other undisclosed investors on October 13, 2017.</t>
        </is>
      </c>
      <c r="AW172" s="187" t="inlineStr">
        <is>
          <t>Accel, Adamas Finance Asia, Amalfi Capital, InReach Ventures, Kindred Capital, Pacific Tiger Group, Raptor Group, Shan Mehta, Spark Capital, Tom Hulme</t>
        </is>
      </c>
      <c r="AX172" s="188" t="n">
        <v>10.0</v>
      </c>
      <c r="AY172" s="189" t="inlineStr">
        <is>
          <t/>
        </is>
      </c>
      <c r="AZ172" s="190" t="inlineStr">
        <is>
          <t/>
        </is>
      </c>
      <c r="BA172" s="191" t="inlineStr">
        <is>
          <t/>
        </is>
      </c>
      <c r="BB172" s="192" t="inlineStr">
        <is>
          <t>Accel (www.accel.com), Adamas Finance Asia (www.adamasfinance.com), Amalfi Capital (www.amalficapital.com), InReach Ventures (www.inreachventures.com), Kindred Capital (www.kindredcapital.vc), Raptor Group (www.raptorgroup.com), Spark Capital (www.sparkcapital.com), Tom Hulme (www.thulme.com)</t>
        </is>
      </c>
      <c r="BC172" s="193" t="inlineStr">
        <is>
          <t/>
        </is>
      </c>
      <c r="BD172" s="194" t="inlineStr">
        <is>
          <t/>
        </is>
      </c>
      <c r="BE172" s="195" t="inlineStr">
        <is>
          <t>Haines Watts Group (Auditor), Gunderson Dettmer (Legal Advisor)</t>
        </is>
      </c>
      <c r="BF172" s="196" t="inlineStr">
        <is>
          <t>Gunderson Dettmer (Legal Advisor)</t>
        </is>
      </c>
      <c r="BG172" s="197" t="n">
        <v>39448.0</v>
      </c>
      <c r="BH172" s="198" t="n">
        <v>0.4</v>
      </c>
      <c r="BI172" s="199" t="inlineStr">
        <is>
          <t>Actual</t>
        </is>
      </c>
      <c r="BJ172" s="200" t="inlineStr">
        <is>
          <t/>
        </is>
      </c>
      <c r="BK172" s="201" t="inlineStr">
        <is>
          <t/>
        </is>
      </c>
      <c r="BL172" s="202" t="inlineStr">
        <is>
          <t>Seed Round</t>
        </is>
      </c>
      <c r="BM172" s="203" t="inlineStr">
        <is>
          <t>Seed</t>
        </is>
      </c>
      <c r="BN172" s="204" t="inlineStr">
        <is>
          <t/>
        </is>
      </c>
      <c r="BO172" s="205" t="inlineStr">
        <is>
          <t>Venture Capital</t>
        </is>
      </c>
      <c r="BP172" s="206" t="inlineStr">
        <is>
          <t/>
        </is>
      </c>
      <c r="BQ172" s="207" t="inlineStr">
        <is>
          <t/>
        </is>
      </c>
      <c r="BR172" s="208" t="inlineStr">
        <is>
          <t/>
        </is>
      </c>
      <c r="BS172" s="209" t="inlineStr">
        <is>
          <t>Completed</t>
        </is>
      </c>
      <c r="BT172" s="210" t="n">
        <v>43021.0</v>
      </c>
      <c r="BU172" s="211" t="n">
        <v>2.64</v>
      </c>
      <c r="BV172" s="212" t="inlineStr">
        <is>
          <t>Actual</t>
        </is>
      </c>
      <c r="BW172" s="213" t="inlineStr">
        <is>
          <t/>
        </is>
      </c>
      <c r="BX172" s="214" t="inlineStr">
        <is>
          <t/>
        </is>
      </c>
      <c r="BY172" s="215" t="inlineStr">
        <is>
          <t>Later Stage VC</t>
        </is>
      </c>
      <c r="BZ172" s="216" t="inlineStr">
        <is>
          <t/>
        </is>
      </c>
      <c r="CA172" s="217" t="inlineStr">
        <is>
          <t/>
        </is>
      </c>
      <c r="CB172" s="218" t="inlineStr">
        <is>
          <t>Venture Capital</t>
        </is>
      </c>
      <c r="CC172" s="219" t="inlineStr">
        <is>
          <t/>
        </is>
      </c>
      <c r="CD172" s="220" t="inlineStr">
        <is>
          <t/>
        </is>
      </c>
      <c r="CE172" s="221" t="inlineStr">
        <is>
          <t/>
        </is>
      </c>
      <c r="CF172" s="222" t="inlineStr">
        <is>
          <t>Completed</t>
        </is>
      </c>
      <c r="CG172" s="223" t="inlineStr">
        <is>
          <t>-0,59%</t>
        </is>
      </c>
      <c r="CH172" s="224" t="inlineStr">
        <is>
          <t>18</t>
        </is>
      </c>
      <c r="CI172" s="225" t="inlineStr">
        <is>
          <t>-0,07%</t>
        </is>
      </c>
      <c r="CJ172" s="226" t="inlineStr">
        <is>
          <t>-13,67%</t>
        </is>
      </c>
      <c r="CK172" s="227" t="inlineStr">
        <is>
          <t>-1,20%</t>
        </is>
      </c>
      <c r="CL172" s="228" t="inlineStr">
        <is>
          <t>18</t>
        </is>
      </c>
      <c r="CM172" s="229" t="inlineStr">
        <is>
          <t>0,02%</t>
        </is>
      </c>
      <c r="CN172" s="230" t="inlineStr">
        <is>
          <t>44</t>
        </is>
      </c>
      <c r="CO172" s="231" t="inlineStr">
        <is>
          <t>0,00%</t>
        </is>
      </c>
      <c r="CP172" s="232" t="inlineStr">
        <is>
          <t>37</t>
        </is>
      </c>
      <c r="CQ172" s="233" t="inlineStr">
        <is>
          <t>-2,40%</t>
        </is>
      </c>
      <c r="CR172" s="234" t="inlineStr">
        <is>
          <t>2</t>
        </is>
      </c>
      <c r="CS172" s="235" t="inlineStr">
        <is>
          <t>0,00%</t>
        </is>
      </c>
      <c r="CT172" s="236" t="inlineStr">
        <is>
          <t>18</t>
        </is>
      </c>
      <c r="CU172" s="237" t="inlineStr">
        <is>
          <t>0,03%</t>
        </is>
      </c>
      <c r="CV172" s="238" t="inlineStr">
        <is>
          <t>56</t>
        </is>
      </c>
      <c r="CW172" s="239" t="inlineStr">
        <is>
          <t>4,57x</t>
        </is>
      </c>
      <c r="CX172" s="240" t="inlineStr">
        <is>
          <t>79</t>
        </is>
      </c>
      <c r="CY172" s="241" t="inlineStr">
        <is>
          <t>-0,10x</t>
        </is>
      </c>
      <c r="CZ172" s="242" t="inlineStr">
        <is>
          <t>-2,19%</t>
        </is>
      </c>
      <c r="DA172" s="243" t="inlineStr">
        <is>
          <t>6,70x</t>
        </is>
      </c>
      <c r="DB172" s="244" t="inlineStr">
        <is>
          <t>85</t>
        </is>
      </c>
      <c r="DC172" s="245" t="inlineStr">
        <is>
          <t>2,45x</t>
        </is>
      </c>
      <c r="DD172" s="246" t="inlineStr">
        <is>
          <t>65</t>
        </is>
      </c>
      <c r="DE172" s="247" t="inlineStr">
        <is>
          <t>0,48x</t>
        </is>
      </c>
      <c r="DF172" s="248" t="inlineStr">
        <is>
          <t>32</t>
        </is>
      </c>
      <c r="DG172" s="249" t="inlineStr">
        <is>
          <t>12,92x</t>
        </is>
      </c>
      <c r="DH172" s="250" t="inlineStr">
        <is>
          <t>90</t>
        </is>
      </c>
      <c r="DI172" s="251" t="inlineStr">
        <is>
          <t>0,42x</t>
        </is>
      </c>
      <c r="DJ172" s="252" t="inlineStr">
        <is>
          <t>36</t>
        </is>
      </c>
      <c r="DK172" s="253" t="inlineStr">
        <is>
          <t>4,48x</t>
        </is>
      </c>
      <c r="DL172" s="254" t="inlineStr">
        <is>
          <t>77</t>
        </is>
      </c>
      <c r="DM172" s="255" t="inlineStr">
        <is>
          <t>175</t>
        </is>
      </c>
      <c r="DN172" s="256" t="inlineStr">
        <is>
          <t>18</t>
        </is>
      </c>
      <c r="DO172" s="257" t="inlineStr">
        <is>
          <t>11,46%</t>
        </is>
      </c>
      <c r="DP172" s="258" t="inlineStr">
        <is>
          <t>329</t>
        </is>
      </c>
      <c r="DQ172" s="259" t="inlineStr">
        <is>
          <t>0</t>
        </is>
      </c>
      <c r="DR172" s="260" t="inlineStr">
        <is>
          <t>0,00%</t>
        </is>
      </c>
      <c r="DS172" s="261" t="inlineStr">
        <is>
          <t>470</t>
        </is>
      </c>
      <c r="DT172" s="262" t="inlineStr">
        <is>
          <t>-13</t>
        </is>
      </c>
      <c r="DU172" s="263" t="inlineStr">
        <is>
          <t>-2,69%</t>
        </is>
      </c>
      <c r="DV172" s="264" t="inlineStr">
        <is>
          <t>1.675</t>
        </is>
      </c>
      <c r="DW172" s="265" t="inlineStr">
        <is>
          <t>0</t>
        </is>
      </c>
      <c r="DX172" s="266" t="inlineStr">
        <is>
          <t>0,00%</t>
        </is>
      </c>
      <c r="DY172" s="267" t="inlineStr">
        <is>
          <t>PitchBook Research</t>
        </is>
      </c>
      <c r="DZ172" s="786">
        <f>HYPERLINK("https://my.pitchbook.com?c=56922-13", "View company online")</f>
      </c>
    </row>
    <row r="173">
      <c r="A173" s="9" t="inlineStr">
        <is>
          <t>118219-69</t>
        </is>
      </c>
      <c r="B173" s="10" t="inlineStr">
        <is>
          <t>LumApps</t>
        </is>
      </c>
      <c r="C173" s="11" t="inlineStr">
        <is>
          <t>LumSites</t>
        </is>
      </c>
      <c r="D173" s="12" t="inlineStr">
        <is>
          <t/>
        </is>
      </c>
      <c r="E173" s="13" t="inlineStr">
        <is>
          <t>118219-69</t>
        </is>
      </c>
      <c r="F173" s="14" t="inlineStr">
        <is>
          <t>Provider of web-based social intranet services intended to personalized content, work applications and social communities. The company's web-based social intranet brings together all content in an enterprise and is integrated with Google's G Suite, enables employees to access business application and content directly in the portal using App Engine and other Google technology.</t>
        </is>
      </c>
      <c r="G173" s="15" t="inlineStr">
        <is>
          <t>Information Technology</t>
        </is>
      </c>
      <c r="H173" s="16" t="inlineStr">
        <is>
          <t>IT Services</t>
        </is>
      </c>
      <c r="I173" s="17" t="inlineStr">
        <is>
          <t>IT Consulting and Outsourcing</t>
        </is>
      </c>
      <c r="J173" s="18" t="inlineStr">
        <is>
          <t>IT Consulting and Outsourcing*; Communication Software; Business/Productivity Software; Social/Platform Software</t>
        </is>
      </c>
      <c r="K173" s="19" t="inlineStr">
        <is>
          <t>Mobile, SaaS</t>
        </is>
      </c>
      <c r="L173" s="20" t="inlineStr">
        <is>
          <t>Venture Capital-Backed</t>
        </is>
      </c>
      <c r="M173" s="21" t="n">
        <v>6.8</v>
      </c>
      <c r="N173" s="22" t="inlineStr">
        <is>
          <t>Generating Revenue</t>
        </is>
      </c>
      <c r="O173" s="23" t="inlineStr">
        <is>
          <t>Privately Held (backing)</t>
        </is>
      </c>
      <c r="P173" s="24" t="inlineStr">
        <is>
          <t>Venture Capital</t>
        </is>
      </c>
      <c r="Q173" s="25" t="inlineStr">
        <is>
          <t>www.lumapps.com</t>
        </is>
      </c>
      <c r="R173" s="26" t="n">
        <v>20.0</v>
      </c>
      <c r="S173" s="27" t="inlineStr">
        <is>
          <t/>
        </is>
      </c>
      <c r="T173" s="28" t="inlineStr">
        <is>
          <t/>
        </is>
      </c>
      <c r="U173" s="29" t="n">
        <v>2012.0</v>
      </c>
      <c r="V173" s="30" t="inlineStr">
        <is>
          <t/>
        </is>
      </c>
      <c r="W173" s="31" t="inlineStr">
        <is>
          <t/>
        </is>
      </c>
      <c r="X173" s="32" t="inlineStr">
        <is>
          <t/>
        </is>
      </c>
      <c r="Y173" s="33" t="n">
        <v>1.44241</v>
      </c>
      <c r="Z173" s="34" t="n">
        <v>0.0</v>
      </c>
      <c r="AA173" s="35" t="inlineStr">
        <is>
          <t/>
        </is>
      </c>
      <c r="AB173" s="36" t="inlineStr">
        <is>
          <t/>
        </is>
      </c>
      <c r="AC173" s="37" t="n">
        <v>0.05512</v>
      </c>
      <c r="AD173" s="38" t="inlineStr">
        <is>
          <t>FY 2015</t>
        </is>
      </c>
      <c r="AE173" s="39" t="inlineStr">
        <is>
          <t>136542-61P</t>
        </is>
      </c>
      <c r="AF173" s="40" t="inlineStr">
        <is>
          <t>Sébastien Ricard</t>
        </is>
      </c>
      <c r="AG173" s="41" t="inlineStr">
        <is>
          <t>Chief Executive Officer</t>
        </is>
      </c>
      <c r="AH173" s="42" t="inlineStr">
        <is>
          <t/>
        </is>
      </c>
      <c r="AI173" s="43" t="inlineStr">
        <is>
          <t/>
        </is>
      </c>
      <c r="AJ173" s="44" t="inlineStr">
        <is>
          <t>Lyon, France</t>
        </is>
      </c>
      <c r="AK173" s="45" t="inlineStr">
        <is>
          <t>75, rue François Mermet</t>
        </is>
      </c>
      <c r="AL173" s="46" t="inlineStr">
        <is>
          <t>Tassin-la-Demi-Lune</t>
        </is>
      </c>
      <c r="AM173" s="47" t="inlineStr">
        <is>
          <t>Lyon</t>
        </is>
      </c>
      <c r="AN173" s="48" t="inlineStr">
        <is>
          <t/>
        </is>
      </c>
      <c r="AO173" s="49" t="inlineStr">
        <is>
          <t/>
        </is>
      </c>
      <c r="AP173" s="50" t="inlineStr">
        <is>
          <t>France</t>
        </is>
      </c>
      <c r="AQ173" s="51" t="inlineStr">
        <is>
          <t/>
        </is>
      </c>
      <c r="AR173" s="52" t="inlineStr">
        <is>
          <t/>
        </is>
      </c>
      <c r="AS173" s="53" t="inlineStr">
        <is>
          <t/>
        </is>
      </c>
      <c r="AT173" s="54" t="inlineStr">
        <is>
          <t>Europe</t>
        </is>
      </c>
      <c r="AU173" s="55" t="inlineStr">
        <is>
          <t>Western Europe</t>
        </is>
      </c>
      <c r="AV173" s="56" t="inlineStr">
        <is>
          <t>The company raised $8 million of Series A venture funding in a deal led by Idinvest Partners on October 10, 2017. Other undisclosed investors also participated in the round. The funds will be used to continue the global expansion of the company's service.</t>
        </is>
      </c>
      <c r="AW173" s="57" t="inlineStr">
        <is>
          <t>IdInvest Partners</t>
        </is>
      </c>
      <c r="AX173" s="58" t="n">
        <v>1.0</v>
      </c>
      <c r="AY173" s="59" t="inlineStr">
        <is>
          <t/>
        </is>
      </c>
      <c r="AZ173" s="60" t="inlineStr">
        <is>
          <t/>
        </is>
      </c>
      <c r="BA173" s="61" t="inlineStr">
        <is>
          <t/>
        </is>
      </c>
      <c r="BB173" s="62" t="inlineStr">
        <is>
          <t>IdInvest Partners (www.idinvest.com)</t>
        </is>
      </c>
      <c r="BC173" s="63" t="inlineStr">
        <is>
          <t/>
        </is>
      </c>
      <c r="BD173" s="64" t="inlineStr">
        <is>
          <t/>
        </is>
      </c>
      <c r="BE173" s="65" t="inlineStr">
        <is>
          <t/>
        </is>
      </c>
      <c r="BF173" s="66" t="inlineStr">
        <is>
          <t/>
        </is>
      </c>
      <c r="BG173" s="67" t="n">
        <v>43018.0</v>
      </c>
      <c r="BH173" s="68" t="n">
        <v>6.8</v>
      </c>
      <c r="BI173" s="69" t="inlineStr">
        <is>
          <t>Actual</t>
        </is>
      </c>
      <c r="BJ173" s="70" t="inlineStr">
        <is>
          <t/>
        </is>
      </c>
      <c r="BK173" s="71" t="inlineStr">
        <is>
          <t/>
        </is>
      </c>
      <c r="BL173" s="72" t="inlineStr">
        <is>
          <t>Later Stage VC</t>
        </is>
      </c>
      <c r="BM173" s="73" t="inlineStr">
        <is>
          <t>Series A</t>
        </is>
      </c>
      <c r="BN173" s="74" t="inlineStr">
        <is>
          <t/>
        </is>
      </c>
      <c r="BO173" s="75" t="inlineStr">
        <is>
          <t>Venture Capital</t>
        </is>
      </c>
      <c r="BP173" s="76" t="inlineStr">
        <is>
          <t/>
        </is>
      </c>
      <c r="BQ173" s="77" t="inlineStr">
        <is>
          <t/>
        </is>
      </c>
      <c r="BR173" s="78" t="inlineStr">
        <is>
          <t/>
        </is>
      </c>
      <c r="BS173" s="79" t="inlineStr">
        <is>
          <t>Completed</t>
        </is>
      </c>
      <c r="BT173" s="80" t="n">
        <v>43018.0</v>
      </c>
      <c r="BU173" s="81" t="n">
        <v>6.8</v>
      </c>
      <c r="BV173" s="82" t="inlineStr">
        <is>
          <t>Actual</t>
        </is>
      </c>
      <c r="BW173" s="83" t="inlineStr">
        <is>
          <t/>
        </is>
      </c>
      <c r="BX173" s="84" t="inlineStr">
        <is>
          <t/>
        </is>
      </c>
      <c r="BY173" s="85" t="inlineStr">
        <is>
          <t>Later Stage VC</t>
        </is>
      </c>
      <c r="BZ173" s="86" t="inlineStr">
        <is>
          <t>Series A</t>
        </is>
      </c>
      <c r="CA173" s="87" t="inlineStr">
        <is>
          <t/>
        </is>
      </c>
      <c r="CB173" s="88" t="inlineStr">
        <is>
          <t>Venture Capital</t>
        </is>
      </c>
      <c r="CC173" s="89" t="inlineStr">
        <is>
          <t/>
        </is>
      </c>
      <c r="CD173" s="90" t="inlineStr">
        <is>
          <t/>
        </is>
      </c>
      <c r="CE173" s="91" t="inlineStr">
        <is>
          <t/>
        </is>
      </c>
      <c r="CF173" s="92" t="inlineStr">
        <is>
          <t>Completed</t>
        </is>
      </c>
      <c r="CG173" s="93" t="inlineStr">
        <is>
          <t>-0,70%</t>
        </is>
      </c>
      <c r="CH173" s="94" t="inlineStr">
        <is>
          <t>17</t>
        </is>
      </c>
      <c r="CI173" s="95" t="inlineStr">
        <is>
          <t>-0,05%</t>
        </is>
      </c>
      <c r="CJ173" s="96" t="inlineStr">
        <is>
          <t>-7,06%</t>
        </is>
      </c>
      <c r="CK173" s="97" t="inlineStr">
        <is>
          <t>-2,09%</t>
        </is>
      </c>
      <c r="CL173" s="98" t="inlineStr">
        <is>
          <t>14</t>
        </is>
      </c>
      <c r="CM173" s="99" t="inlineStr">
        <is>
          <t>0,70%</t>
        </is>
      </c>
      <c r="CN173" s="100" t="inlineStr">
        <is>
          <t>93</t>
        </is>
      </c>
      <c r="CO173" s="101" t="inlineStr">
        <is>
          <t>-4,19%</t>
        </is>
      </c>
      <c r="CP173" s="102" t="inlineStr">
        <is>
          <t>23</t>
        </is>
      </c>
      <c r="CQ173" s="103" t="inlineStr">
        <is>
          <t>0,00%</t>
        </is>
      </c>
      <c r="CR173" s="104" t="inlineStr">
        <is>
          <t>20</t>
        </is>
      </c>
      <c r="CS173" s="105" t="inlineStr">
        <is>
          <t>0,00%</t>
        </is>
      </c>
      <c r="CT173" s="106" t="inlineStr">
        <is>
          <t>18</t>
        </is>
      </c>
      <c r="CU173" s="107" t="inlineStr">
        <is>
          <t>1,39%</t>
        </is>
      </c>
      <c r="CV173" s="108" t="inlineStr">
        <is>
          <t>98</t>
        </is>
      </c>
      <c r="CW173" s="109" t="inlineStr">
        <is>
          <t>1,80x</t>
        </is>
      </c>
      <c r="CX173" s="110" t="inlineStr">
        <is>
          <t>62</t>
        </is>
      </c>
      <c r="CY173" s="111" t="inlineStr">
        <is>
          <t>0,00x</t>
        </is>
      </c>
      <c r="CZ173" s="112" t="inlineStr">
        <is>
          <t>0,18%</t>
        </is>
      </c>
      <c r="DA173" s="113" t="inlineStr">
        <is>
          <t>3,15x</t>
        </is>
      </c>
      <c r="DB173" s="114" t="inlineStr">
        <is>
          <t>75</t>
        </is>
      </c>
      <c r="DC173" s="115" t="inlineStr">
        <is>
          <t>0,45x</t>
        </is>
      </c>
      <c r="DD173" s="116" t="inlineStr">
        <is>
          <t>34</t>
        </is>
      </c>
      <c r="DE173" s="117" t="inlineStr">
        <is>
          <t>3,88x</t>
        </is>
      </c>
      <c r="DF173" s="118" t="inlineStr">
        <is>
          <t>77</t>
        </is>
      </c>
      <c r="DG173" s="119" t="inlineStr">
        <is>
          <t>2,42x</t>
        </is>
      </c>
      <c r="DH173" s="120" t="inlineStr">
        <is>
          <t>68</t>
        </is>
      </c>
      <c r="DI173" s="121" t="inlineStr">
        <is>
          <t>0,03x</t>
        </is>
      </c>
      <c r="DJ173" s="122" t="inlineStr">
        <is>
          <t>5</t>
        </is>
      </c>
      <c r="DK173" s="123" t="inlineStr">
        <is>
          <t>0,87x</t>
        </is>
      </c>
      <c r="DL173" s="124" t="inlineStr">
        <is>
          <t>48</t>
        </is>
      </c>
      <c r="DM173" s="125" t="inlineStr">
        <is>
          <t>1.422</t>
        </is>
      </c>
      <c r="DN173" s="126" t="inlineStr">
        <is>
          <t>95</t>
        </is>
      </c>
      <c r="DO173" s="127" t="inlineStr">
        <is>
          <t>7,16%</t>
        </is>
      </c>
      <c r="DP173" s="128" t="inlineStr">
        <is>
          <t>25</t>
        </is>
      </c>
      <c r="DQ173" s="129" t="inlineStr">
        <is>
          <t>1</t>
        </is>
      </c>
      <c r="DR173" s="130" t="inlineStr">
        <is>
          <t>4,17%</t>
        </is>
      </c>
      <c r="DS173" s="131" t="inlineStr">
        <is>
          <t>86</t>
        </is>
      </c>
      <c r="DT173" s="132" t="inlineStr">
        <is>
          <t>1</t>
        </is>
      </c>
      <c r="DU173" s="133" t="inlineStr">
        <is>
          <t>1,18%</t>
        </is>
      </c>
      <c r="DV173" s="134" t="inlineStr">
        <is>
          <t>327</t>
        </is>
      </c>
      <c r="DW173" s="135" t="inlineStr">
        <is>
          <t>2</t>
        </is>
      </c>
      <c r="DX173" s="136" t="inlineStr">
        <is>
          <t>0,62%</t>
        </is>
      </c>
      <c r="DY173" s="137" t="inlineStr">
        <is>
          <t>PitchBook Research</t>
        </is>
      </c>
      <c r="DZ173" s="785">
        <f>HYPERLINK("https://my.pitchbook.com?c=118219-69", "View company online")</f>
      </c>
    </row>
    <row r="174">
      <c r="A174" s="139" t="inlineStr">
        <is>
          <t>94526-65</t>
        </is>
      </c>
      <c r="B174" s="140" t="inlineStr">
        <is>
          <t>Ubleam</t>
        </is>
      </c>
      <c r="C174" s="141" t="inlineStr">
        <is>
          <t/>
        </is>
      </c>
      <c r="D174" s="142" t="inlineStr">
        <is>
          <t/>
        </is>
      </c>
      <c r="E174" s="143" t="inlineStr">
        <is>
          <t>94526-65</t>
        </is>
      </c>
      <c r="F174" s="144" t="inlineStr">
        <is>
          <t>Developer of a Saas-based mobile augmented reality designed to simplify the use of objects. The company's mobile augmented reality includes its Bleam code, mobile application and IOT platform, enabling customers to manage ones objects, products or equipment remotely, centralize several actions in their mobile application augmented reality, while ensuring their field teams a gain in reliability and productivity.</t>
        </is>
      </c>
      <c r="G174" s="145" t="inlineStr">
        <is>
          <t>Consumer Products and Services (B2C)</t>
        </is>
      </c>
      <c r="H174" s="146" t="inlineStr">
        <is>
          <t>Consumer Durables</t>
        </is>
      </c>
      <c r="I174" s="147" t="inlineStr">
        <is>
          <t>Electronics (B2C)</t>
        </is>
      </c>
      <c r="J174" s="148" t="inlineStr">
        <is>
          <t>Electronics (B2C)*; Other Consumer Products and Services; Application Software</t>
        </is>
      </c>
      <c r="K174" s="149" t="inlineStr">
        <is>
          <t>Internet of Things, Mobile, SaaS</t>
        </is>
      </c>
      <c r="L174" s="150" t="inlineStr">
        <is>
          <t>Venture Capital-Backed</t>
        </is>
      </c>
      <c r="M174" s="151" t="n">
        <v>6.76</v>
      </c>
      <c r="N174" s="152" t="inlineStr">
        <is>
          <t>Generating Revenue</t>
        </is>
      </c>
      <c r="O174" s="153" t="inlineStr">
        <is>
          <t>Privately Held (backing)</t>
        </is>
      </c>
      <c r="P174" s="154" t="inlineStr">
        <is>
          <t>Venture Capital</t>
        </is>
      </c>
      <c r="Q174" s="155" t="inlineStr">
        <is>
          <t>www.ubleam.com</t>
        </is>
      </c>
      <c r="R174" s="156" t="n">
        <v>12.0</v>
      </c>
      <c r="S174" s="157" t="inlineStr">
        <is>
          <t/>
        </is>
      </c>
      <c r="T174" s="158" t="inlineStr">
        <is>
          <t/>
        </is>
      </c>
      <c r="U174" s="159" t="n">
        <v>2011.0</v>
      </c>
      <c r="V174" s="160" t="inlineStr">
        <is>
          <t/>
        </is>
      </c>
      <c r="W174" s="161" t="inlineStr">
        <is>
          <t/>
        </is>
      </c>
      <c r="X174" s="162" t="inlineStr">
        <is>
          <t/>
        </is>
      </c>
      <c r="Y174" s="163" t="n">
        <v>85.045</v>
      </c>
      <c r="Z174" s="164" t="inlineStr">
        <is>
          <t/>
        </is>
      </c>
      <c r="AA174" s="165" t="inlineStr">
        <is>
          <t/>
        </is>
      </c>
      <c r="AB174" s="166" t="inlineStr">
        <is>
          <t/>
        </is>
      </c>
      <c r="AC174" s="167" t="inlineStr">
        <is>
          <t/>
        </is>
      </c>
      <c r="AD174" s="168" t="inlineStr">
        <is>
          <t>FY 2017</t>
        </is>
      </c>
      <c r="AE174" s="169" t="inlineStr">
        <is>
          <t>98345-89P</t>
        </is>
      </c>
      <c r="AF174" s="170" t="inlineStr">
        <is>
          <t>Gwendoline Meyer</t>
        </is>
      </c>
      <c r="AG174" s="171" t="inlineStr">
        <is>
          <t>Executive, Business development Marketing &amp; Retail</t>
        </is>
      </c>
      <c r="AH174" s="172" t="inlineStr">
        <is>
          <t/>
        </is>
      </c>
      <c r="AI174" s="173" t="inlineStr">
        <is>
          <t>+33 (0)5 82 08 07 20</t>
        </is>
      </c>
      <c r="AJ174" s="174" t="inlineStr">
        <is>
          <t>Labege, France</t>
        </is>
      </c>
      <c r="AK174" s="175" t="inlineStr">
        <is>
          <t>435, Jean Rostand street</t>
        </is>
      </c>
      <c r="AL174" s="176" t="inlineStr">
        <is>
          <t/>
        </is>
      </c>
      <c r="AM174" s="177" t="inlineStr">
        <is>
          <t>Labege</t>
        </is>
      </c>
      <c r="AN174" s="178" t="inlineStr">
        <is>
          <t/>
        </is>
      </c>
      <c r="AO174" s="179" t="inlineStr">
        <is>
          <t>31670</t>
        </is>
      </c>
      <c r="AP174" s="180" t="inlineStr">
        <is>
          <t>France</t>
        </is>
      </c>
      <c r="AQ174" s="181" t="inlineStr">
        <is>
          <t>+33 (0)5 82 08 07 20</t>
        </is>
      </c>
      <c r="AR174" s="182" t="inlineStr">
        <is>
          <t/>
        </is>
      </c>
      <c r="AS174" s="183" t="inlineStr">
        <is>
          <t/>
        </is>
      </c>
      <c r="AT174" s="184" t="inlineStr">
        <is>
          <t>Europe</t>
        </is>
      </c>
      <c r="AU174" s="185" t="inlineStr">
        <is>
          <t>Western Europe</t>
        </is>
      </c>
      <c r="AV174" s="186" t="inlineStr">
        <is>
          <t>The company raised EUR 1.25 million of venture funding from Air Liquide Venture Capital on April 11, 2017.</t>
        </is>
      </c>
      <c r="AW174" s="187" t="inlineStr">
        <is>
          <t>Air Liquide Venture Capital, Incubateur Midi-Pyrenees</t>
        </is>
      </c>
      <c r="AX174" s="188" t="n">
        <v>2.0</v>
      </c>
      <c r="AY174" s="189" t="inlineStr">
        <is>
          <t/>
        </is>
      </c>
      <c r="AZ174" s="190" t="inlineStr">
        <is>
          <t/>
        </is>
      </c>
      <c r="BA174" s="191" t="inlineStr">
        <is>
          <t/>
        </is>
      </c>
      <c r="BB174" s="192" t="inlineStr">
        <is>
          <t>Incubateur Midi-Pyrenees (www.incubateurmipy.fr)</t>
        </is>
      </c>
      <c r="BC174" s="193" t="inlineStr">
        <is>
          <t/>
        </is>
      </c>
      <c r="BD174" s="194" t="inlineStr">
        <is>
          <t/>
        </is>
      </c>
      <c r="BE174" s="195" t="inlineStr">
        <is>
          <t>Ekito (Consulting)</t>
        </is>
      </c>
      <c r="BF174" s="196" t="inlineStr">
        <is>
          <t>Indiegogo (Lead Manager or Arranger)</t>
        </is>
      </c>
      <c r="BG174" s="197" t="inlineStr">
        <is>
          <t/>
        </is>
      </c>
      <c r="BH174" s="198" t="inlineStr">
        <is>
          <t/>
        </is>
      </c>
      <c r="BI174" s="199" t="inlineStr">
        <is>
          <t/>
        </is>
      </c>
      <c r="BJ174" s="200" t="inlineStr">
        <is>
          <t/>
        </is>
      </c>
      <c r="BK174" s="201" t="inlineStr">
        <is>
          <t/>
        </is>
      </c>
      <c r="BL174" s="202" t="inlineStr">
        <is>
          <t>Accelerator/Incubator</t>
        </is>
      </c>
      <c r="BM174" s="203" t="inlineStr">
        <is>
          <t/>
        </is>
      </c>
      <c r="BN174" s="204" t="inlineStr">
        <is>
          <t/>
        </is>
      </c>
      <c r="BO174" s="205" t="inlineStr">
        <is>
          <t>Other</t>
        </is>
      </c>
      <c r="BP174" s="206" t="inlineStr">
        <is>
          <t/>
        </is>
      </c>
      <c r="BQ174" s="207" t="inlineStr">
        <is>
          <t/>
        </is>
      </c>
      <c r="BR174" s="208" t="inlineStr">
        <is>
          <t/>
        </is>
      </c>
      <c r="BS174" s="209" t="inlineStr">
        <is>
          <t>Completed</t>
        </is>
      </c>
      <c r="BT174" s="210" t="n">
        <v>42836.0</v>
      </c>
      <c r="BU174" s="211" t="n">
        <v>1.25</v>
      </c>
      <c r="BV174" s="212" t="inlineStr">
        <is>
          <t>Actual</t>
        </is>
      </c>
      <c r="BW174" s="213" t="inlineStr">
        <is>
          <t/>
        </is>
      </c>
      <c r="BX174" s="214" t="inlineStr">
        <is>
          <t/>
        </is>
      </c>
      <c r="BY174" s="215" t="inlineStr">
        <is>
          <t>Later Stage VC</t>
        </is>
      </c>
      <c r="BZ174" s="216" t="inlineStr">
        <is>
          <t/>
        </is>
      </c>
      <c r="CA174" s="217" t="inlineStr">
        <is>
          <t/>
        </is>
      </c>
      <c r="CB174" s="218" t="inlineStr">
        <is>
          <t>Venture Capital</t>
        </is>
      </c>
      <c r="CC174" s="219" t="inlineStr">
        <is>
          <t/>
        </is>
      </c>
      <c r="CD174" s="220" t="inlineStr">
        <is>
          <t/>
        </is>
      </c>
      <c r="CE174" s="221" t="inlineStr">
        <is>
          <t/>
        </is>
      </c>
      <c r="CF174" s="222" t="inlineStr">
        <is>
          <t>Completed</t>
        </is>
      </c>
      <c r="CG174" s="223" t="inlineStr">
        <is>
          <t>-0,02%</t>
        </is>
      </c>
      <c r="CH174" s="224" t="inlineStr">
        <is>
          <t>29</t>
        </is>
      </c>
      <c r="CI174" s="225" t="inlineStr">
        <is>
          <t>0,04%</t>
        </is>
      </c>
      <c r="CJ174" s="226" t="inlineStr">
        <is>
          <t>67,88%</t>
        </is>
      </c>
      <c r="CK174" s="227" t="inlineStr">
        <is>
          <t>-0,20%</t>
        </is>
      </c>
      <c r="CL174" s="228" t="inlineStr">
        <is>
          <t>27</t>
        </is>
      </c>
      <c r="CM174" s="229" t="inlineStr">
        <is>
          <t>0,17%</t>
        </is>
      </c>
      <c r="CN174" s="230" t="inlineStr">
        <is>
          <t>68</t>
        </is>
      </c>
      <c r="CO174" s="231" t="inlineStr">
        <is>
          <t>-0,05%</t>
        </is>
      </c>
      <c r="CP174" s="232" t="inlineStr">
        <is>
          <t>37</t>
        </is>
      </c>
      <c r="CQ174" s="233" t="inlineStr">
        <is>
          <t>-0,36%</t>
        </is>
      </c>
      <c r="CR174" s="234" t="inlineStr">
        <is>
          <t>17</t>
        </is>
      </c>
      <c r="CS174" s="235" t="inlineStr">
        <is>
          <t>-0,01%</t>
        </is>
      </c>
      <c r="CT174" s="236" t="inlineStr">
        <is>
          <t>16</t>
        </is>
      </c>
      <c r="CU174" s="237" t="inlineStr">
        <is>
          <t>0,35%</t>
        </is>
      </c>
      <c r="CV174" s="238" t="inlineStr">
        <is>
          <t>86</t>
        </is>
      </c>
      <c r="CW174" s="239" t="inlineStr">
        <is>
          <t>3,13x</t>
        </is>
      </c>
      <c r="CX174" s="240" t="inlineStr">
        <is>
          <t>73</t>
        </is>
      </c>
      <c r="CY174" s="241" t="inlineStr">
        <is>
          <t>-0,02x</t>
        </is>
      </c>
      <c r="CZ174" s="242" t="inlineStr">
        <is>
          <t>-0,53%</t>
        </is>
      </c>
      <c r="DA174" s="243" t="inlineStr">
        <is>
          <t>3,42x</t>
        </is>
      </c>
      <c r="DB174" s="244" t="inlineStr">
        <is>
          <t>76</t>
        </is>
      </c>
      <c r="DC174" s="245" t="inlineStr">
        <is>
          <t>2,84x</t>
        </is>
      </c>
      <c r="DD174" s="246" t="inlineStr">
        <is>
          <t>68</t>
        </is>
      </c>
      <c r="DE174" s="247" t="inlineStr">
        <is>
          <t>0,20x</t>
        </is>
      </c>
      <c r="DF174" s="248" t="inlineStr">
        <is>
          <t>13</t>
        </is>
      </c>
      <c r="DG174" s="249" t="inlineStr">
        <is>
          <t>6,64x</t>
        </is>
      </c>
      <c r="DH174" s="250" t="inlineStr">
        <is>
          <t>82</t>
        </is>
      </c>
      <c r="DI174" s="251" t="inlineStr">
        <is>
          <t>1,25x</t>
        </is>
      </c>
      <c r="DJ174" s="252" t="inlineStr">
        <is>
          <t>54</t>
        </is>
      </c>
      <c r="DK174" s="253" t="inlineStr">
        <is>
          <t>4,44x</t>
        </is>
      </c>
      <c r="DL174" s="254" t="inlineStr">
        <is>
          <t>77</t>
        </is>
      </c>
      <c r="DM174" s="255" t="inlineStr">
        <is>
          <t>142</t>
        </is>
      </c>
      <c r="DN174" s="256" t="inlineStr">
        <is>
          <t>-162</t>
        </is>
      </c>
      <c r="DO174" s="257" t="inlineStr">
        <is>
          <t>-53,29%</t>
        </is>
      </c>
      <c r="DP174" s="258" t="inlineStr">
        <is>
          <t>987</t>
        </is>
      </c>
      <c r="DQ174" s="259" t="inlineStr">
        <is>
          <t>0</t>
        </is>
      </c>
      <c r="DR174" s="260" t="inlineStr">
        <is>
          <t>0,00%</t>
        </is>
      </c>
      <c r="DS174" s="261" t="inlineStr">
        <is>
          <t>239</t>
        </is>
      </c>
      <c r="DT174" s="262" t="inlineStr">
        <is>
          <t>-1</t>
        </is>
      </c>
      <c r="DU174" s="263" t="inlineStr">
        <is>
          <t>-0,42%</t>
        </is>
      </c>
      <c r="DV174" s="264" t="inlineStr">
        <is>
          <t>1.657</t>
        </is>
      </c>
      <c r="DW174" s="265" t="inlineStr">
        <is>
          <t>8</t>
        </is>
      </c>
      <c r="DX174" s="266" t="inlineStr">
        <is>
          <t>0,49%</t>
        </is>
      </c>
      <c r="DY174" s="267" t="inlineStr">
        <is>
          <t>PitchBook Research</t>
        </is>
      </c>
      <c r="DZ174" s="786">
        <f>HYPERLINK("https://my.pitchbook.com?c=94526-65", "View company online")</f>
      </c>
    </row>
    <row r="175">
      <c r="A175" s="9" t="inlineStr">
        <is>
          <t>64988-47</t>
        </is>
      </c>
      <c r="B175" s="10" t="inlineStr">
        <is>
          <t>GoMore</t>
        </is>
      </c>
      <c r="C175" s="11" t="inlineStr">
        <is>
          <t/>
        </is>
      </c>
      <c r="D175" s="12" t="inlineStr">
        <is>
          <t/>
        </is>
      </c>
      <c r="E175" s="13" t="inlineStr">
        <is>
          <t>64988-47</t>
        </is>
      </c>
      <c r="F175" s="14" t="inlineStr">
        <is>
          <t>Provider of a ridesharing and car rental platform in Denmark. The company's platform facilitates car sharing and peer-to-peer car rental through social and mobile technology, enabling users to rent cars from private owners, share transport costs, while reducing the number of cars on the road.</t>
        </is>
      </c>
      <c r="G175" s="15" t="inlineStr">
        <is>
          <t>Information Technology</t>
        </is>
      </c>
      <c r="H175" s="16" t="inlineStr">
        <is>
          <t>Software</t>
        </is>
      </c>
      <c r="I175" s="17" t="inlineStr">
        <is>
          <t>Application Software</t>
        </is>
      </c>
      <c r="J175" s="18" t="inlineStr">
        <is>
          <t>Application Software*; Media and Information Services (B2B); Road; Other Transportation</t>
        </is>
      </c>
      <c r="K175" s="19" t="inlineStr">
        <is>
          <t>LOHAS &amp; Wellness, Mobile</t>
        </is>
      </c>
      <c r="L175" s="20" t="inlineStr">
        <is>
          <t>Venture Capital-Backed</t>
        </is>
      </c>
      <c r="M175" s="21" t="n">
        <v>6.73</v>
      </c>
      <c r="N175" s="22" t="inlineStr">
        <is>
          <t>Generating Revenue</t>
        </is>
      </c>
      <c r="O175" s="23" t="inlineStr">
        <is>
          <t>Privately Held (backing)</t>
        </is>
      </c>
      <c r="P175" s="24" t="inlineStr">
        <is>
          <t>Venture Capital</t>
        </is>
      </c>
      <c r="Q175" s="25" t="inlineStr">
        <is>
          <t>www.gomore.dk</t>
        </is>
      </c>
      <c r="R175" s="26" t="n">
        <v>29.0</v>
      </c>
      <c r="S175" s="27" t="inlineStr">
        <is>
          <t/>
        </is>
      </c>
      <c r="T175" s="28" t="inlineStr">
        <is>
          <t/>
        </is>
      </c>
      <c r="U175" s="29" t="n">
        <v>2005.0</v>
      </c>
      <c r="V175" s="30" t="inlineStr">
        <is>
          <t/>
        </is>
      </c>
      <c r="W175" s="31" t="inlineStr">
        <is>
          <t/>
        </is>
      </c>
      <c r="X175" s="32" t="inlineStr">
        <is>
          <t/>
        </is>
      </c>
      <c r="Y175" s="33" t="inlineStr">
        <is>
          <t/>
        </is>
      </c>
      <c r="Z175" s="34" t="n">
        <v>0.05692</v>
      </c>
      <c r="AA175" s="35" t="n">
        <v>-1.42288</v>
      </c>
      <c r="AB175" s="36" t="inlineStr">
        <is>
          <t/>
        </is>
      </c>
      <c r="AC175" s="37" t="n">
        <v>-1.49877</v>
      </c>
      <c r="AD175" s="38" t="inlineStr">
        <is>
          <t>FY 2016</t>
        </is>
      </c>
      <c r="AE175" s="39" t="inlineStr">
        <is>
          <t>72892-99P</t>
        </is>
      </c>
      <c r="AF175" s="40" t="inlineStr">
        <is>
          <t>Matias Dalsgaard</t>
        </is>
      </c>
      <c r="AG175" s="41" t="inlineStr">
        <is>
          <t>Co-Founder &amp; Chief Executive Officer</t>
        </is>
      </c>
      <c r="AH175" s="42" t="inlineStr">
        <is>
          <t>matias@gomore.com</t>
        </is>
      </c>
      <c r="AI175" s="43" t="inlineStr">
        <is>
          <t>+45 29 82 91 94</t>
        </is>
      </c>
      <c r="AJ175" s="44" t="inlineStr">
        <is>
          <t>Copenhagen, Denmark</t>
        </is>
      </c>
      <c r="AK175" s="45" t="inlineStr">
        <is>
          <t>Kompagnistræde 20C</t>
        </is>
      </c>
      <c r="AL175" s="46" t="inlineStr">
        <is>
          <t>3rd floor</t>
        </is>
      </c>
      <c r="AM175" s="47" t="inlineStr">
        <is>
          <t>Copenhagen</t>
        </is>
      </c>
      <c r="AN175" s="48" t="inlineStr">
        <is>
          <t/>
        </is>
      </c>
      <c r="AO175" s="49" t="inlineStr">
        <is>
          <t>1208</t>
        </is>
      </c>
      <c r="AP175" s="50" t="inlineStr">
        <is>
          <t>Denmark</t>
        </is>
      </c>
      <c r="AQ175" s="51" t="inlineStr">
        <is>
          <t/>
        </is>
      </c>
      <c r="AR175" s="52" t="inlineStr">
        <is>
          <t/>
        </is>
      </c>
      <c r="AS175" s="53" t="inlineStr">
        <is>
          <t/>
        </is>
      </c>
      <c r="AT175" s="54" t="inlineStr">
        <is>
          <t>Europe</t>
        </is>
      </c>
      <c r="AU175" s="55" t="inlineStr">
        <is>
          <t>Northern Europe</t>
        </is>
      </c>
      <c r="AV175" s="56" t="inlineStr">
        <is>
          <t>The company raised EUR 5 million of venture funding from Mutuelle Assurance Commerçants et Industriels France on March 3, 2017. The funding will allow GoMore to accelerate its development in France and the Macif Group to offer innovative mobility solutions to its members as well as to to pursue the development of innovative services in terms of new mobilities.</t>
        </is>
      </c>
      <c r="AW175" s="57" t="inlineStr">
        <is>
          <t>Kasper Knokgaard, Lennart Lajboschitz, Mutuelle Assurance Commerçants et Industriels France, SEED Capital Denmark, Vækstfonden</t>
        </is>
      </c>
      <c r="AX175" s="58" t="n">
        <v>5.0</v>
      </c>
      <c r="AY175" s="59" t="inlineStr">
        <is>
          <t/>
        </is>
      </c>
      <c r="AZ175" s="60" t="inlineStr">
        <is>
          <t/>
        </is>
      </c>
      <c r="BA175" s="61" t="inlineStr">
        <is>
          <t/>
        </is>
      </c>
      <c r="BB175" s="62" t="inlineStr">
        <is>
          <t>Mutuelle Assurance Commerçants et Industriels France (www.macif.fr), SEED Capital Denmark (www.seedcapital.dk), Vækstfonden (www.vf.dk)</t>
        </is>
      </c>
      <c r="BC175" s="63" t="inlineStr">
        <is>
          <t/>
        </is>
      </c>
      <c r="BD175" s="64" t="inlineStr">
        <is>
          <t/>
        </is>
      </c>
      <c r="BE175" s="65" t="inlineStr">
        <is>
          <t>PKF (UK) (Auditor), Jyske Bank (General Business Banking)</t>
        </is>
      </c>
      <c r="BF175" s="66" t="inlineStr">
        <is>
          <t>FIH Partners (Advisor: General)</t>
        </is>
      </c>
      <c r="BG175" s="67" t="n">
        <v>41387.0</v>
      </c>
      <c r="BH175" s="68" t="n">
        <v>0.38</v>
      </c>
      <c r="BI175" s="69" t="inlineStr">
        <is>
          <t>Actual</t>
        </is>
      </c>
      <c r="BJ175" s="70" t="inlineStr">
        <is>
          <t/>
        </is>
      </c>
      <c r="BK175" s="71" t="inlineStr">
        <is>
          <t/>
        </is>
      </c>
      <c r="BL175" s="72" t="inlineStr">
        <is>
          <t>Angel (individual)</t>
        </is>
      </c>
      <c r="BM175" s="73" t="inlineStr">
        <is>
          <t>Angel</t>
        </is>
      </c>
      <c r="BN175" s="74" t="inlineStr">
        <is>
          <t/>
        </is>
      </c>
      <c r="BO175" s="75" t="inlineStr">
        <is>
          <t>Individual</t>
        </is>
      </c>
      <c r="BP175" s="76" t="inlineStr">
        <is>
          <t/>
        </is>
      </c>
      <c r="BQ175" s="77" t="inlineStr">
        <is>
          <t/>
        </is>
      </c>
      <c r="BR175" s="78" t="inlineStr">
        <is>
          <t/>
        </is>
      </c>
      <c r="BS175" s="79" t="inlineStr">
        <is>
          <t>Completed</t>
        </is>
      </c>
      <c r="BT175" s="80" t="n">
        <v>42797.0</v>
      </c>
      <c r="BU175" s="81" t="n">
        <v>5.0</v>
      </c>
      <c r="BV175" s="82" t="inlineStr">
        <is>
          <t>Actual</t>
        </is>
      </c>
      <c r="BW175" s="83" t="inlineStr">
        <is>
          <t/>
        </is>
      </c>
      <c r="BX175" s="84" t="inlineStr">
        <is>
          <t/>
        </is>
      </c>
      <c r="BY175" s="85" t="inlineStr">
        <is>
          <t>Later Stage VC</t>
        </is>
      </c>
      <c r="BZ175" s="86" t="inlineStr">
        <is>
          <t/>
        </is>
      </c>
      <c r="CA175" s="87" t="inlineStr">
        <is>
          <t/>
        </is>
      </c>
      <c r="CB175" s="88" t="inlineStr">
        <is>
          <t>Venture Capital</t>
        </is>
      </c>
      <c r="CC175" s="89" t="inlineStr">
        <is>
          <t/>
        </is>
      </c>
      <c r="CD175" s="90" t="inlineStr">
        <is>
          <t/>
        </is>
      </c>
      <c r="CE175" s="91" t="inlineStr">
        <is>
          <t/>
        </is>
      </c>
      <c r="CF175" s="92" t="inlineStr">
        <is>
          <t>Completed</t>
        </is>
      </c>
      <c r="CG175" s="93" t="inlineStr">
        <is>
          <t>-5,54%</t>
        </is>
      </c>
      <c r="CH175" s="94" t="inlineStr">
        <is>
          <t>3</t>
        </is>
      </c>
      <c r="CI175" s="95" t="inlineStr">
        <is>
          <t>-0,05%</t>
        </is>
      </c>
      <c r="CJ175" s="96" t="inlineStr">
        <is>
          <t>-0,88%</t>
        </is>
      </c>
      <c r="CK175" s="97" t="inlineStr">
        <is>
          <t>-11,15%</t>
        </is>
      </c>
      <c r="CL175" s="98" t="inlineStr">
        <is>
          <t>3</t>
        </is>
      </c>
      <c r="CM175" s="99" t="inlineStr">
        <is>
          <t>0,06%</t>
        </is>
      </c>
      <c r="CN175" s="100" t="inlineStr">
        <is>
          <t>51</t>
        </is>
      </c>
      <c r="CO175" s="101" t="inlineStr">
        <is>
          <t>-20,74%</t>
        </is>
      </c>
      <c r="CP175" s="102" t="inlineStr">
        <is>
          <t>5</t>
        </is>
      </c>
      <c r="CQ175" s="103" t="inlineStr">
        <is>
          <t>-1,55%</t>
        </is>
      </c>
      <c r="CR175" s="104" t="inlineStr">
        <is>
          <t>5</t>
        </is>
      </c>
      <c r="CS175" s="105" t="inlineStr">
        <is>
          <t>0,04%</t>
        </is>
      </c>
      <c r="CT175" s="106" t="inlineStr">
        <is>
          <t>46</t>
        </is>
      </c>
      <c r="CU175" s="107" t="inlineStr">
        <is>
          <t>0,07%</t>
        </is>
      </c>
      <c r="CV175" s="108" t="inlineStr">
        <is>
          <t>62</t>
        </is>
      </c>
      <c r="CW175" s="109" t="inlineStr">
        <is>
          <t>17,21x</t>
        </is>
      </c>
      <c r="CX175" s="110" t="inlineStr">
        <is>
          <t>92</t>
        </is>
      </c>
      <c r="CY175" s="111" t="inlineStr">
        <is>
          <t>-0,17x</t>
        </is>
      </c>
      <c r="CZ175" s="112" t="inlineStr">
        <is>
          <t>-0,96%</t>
        </is>
      </c>
      <c r="DA175" s="113" t="inlineStr">
        <is>
          <t>6,51x</t>
        </is>
      </c>
      <c r="DB175" s="114" t="inlineStr">
        <is>
          <t>84</t>
        </is>
      </c>
      <c r="DC175" s="115" t="inlineStr">
        <is>
          <t>27,90x</t>
        </is>
      </c>
      <c r="DD175" s="116" t="inlineStr">
        <is>
          <t>92</t>
        </is>
      </c>
      <c r="DE175" s="117" t="inlineStr">
        <is>
          <t>0,97x</t>
        </is>
      </c>
      <c r="DF175" s="118" t="inlineStr">
        <is>
          <t>50</t>
        </is>
      </c>
      <c r="DG175" s="119" t="inlineStr">
        <is>
          <t>12,06x</t>
        </is>
      </c>
      <c r="DH175" s="120" t="inlineStr">
        <is>
          <t>89</t>
        </is>
      </c>
      <c r="DI175" s="121" t="inlineStr">
        <is>
          <t>52,33x</t>
        </is>
      </c>
      <c r="DJ175" s="122" t="inlineStr">
        <is>
          <t>93</t>
        </is>
      </c>
      <c r="DK175" s="123" t="inlineStr">
        <is>
          <t>3,48x</t>
        </is>
      </c>
      <c r="DL175" s="124" t="inlineStr">
        <is>
          <t>73</t>
        </is>
      </c>
      <c r="DM175" s="125" t="inlineStr">
        <is>
          <t>6.571</t>
        </is>
      </c>
      <c r="DN175" s="126" t="inlineStr">
        <is>
          <t>-14.496</t>
        </is>
      </c>
      <c r="DO175" s="127" t="inlineStr">
        <is>
          <t>-68,81%</t>
        </is>
      </c>
      <c r="DP175" s="128" t="inlineStr">
        <is>
          <t>41.449</t>
        </is>
      </c>
      <c r="DQ175" s="129" t="inlineStr">
        <is>
          <t>0</t>
        </is>
      </c>
      <c r="DR175" s="130" t="inlineStr">
        <is>
          <t>0,00%</t>
        </is>
      </c>
      <c r="DS175" s="131" t="inlineStr">
        <is>
          <t>437</t>
        </is>
      </c>
      <c r="DT175" s="132" t="inlineStr">
        <is>
          <t>-8</t>
        </is>
      </c>
      <c r="DU175" s="133" t="inlineStr">
        <is>
          <t>-1,80%</t>
        </is>
      </c>
      <c r="DV175" s="134" t="inlineStr">
        <is>
          <t>1.300</t>
        </is>
      </c>
      <c r="DW175" s="135" t="inlineStr">
        <is>
          <t>1</t>
        </is>
      </c>
      <c r="DX175" s="136" t="inlineStr">
        <is>
          <t>0,08%</t>
        </is>
      </c>
      <c r="DY175" s="137" t="inlineStr">
        <is>
          <t>PitchBook Research</t>
        </is>
      </c>
      <c r="DZ175" s="785">
        <f>HYPERLINK("https://my.pitchbook.com?c=64988-47", "View company online")</f>
      </c>
    </row>
    <row r="176">
      <c r="A176" s="139" t="inlineStr">
        <is>
          <t>103477-06</t>
        </is>
      </c>
      <c r="B176" s="140" t="inlineStr">
        <is>
          <t>Vist Group</t>
        </is>
      </c>
      <c r="C176" s="141" t="inlineStr">
        <is>
          <t/>
        </is>
      </c>
      <c r="D176" s="142" t="inlineStr">
        <is>
          <t/>
        </is>
      </c>
      <c r="E176" s="143" t="inlineStr">
        <is>
          <t>103477-06</t>
        </is>
      </c>
      <c r="F176" s="144" t="inlineStr">
        <is>
          <t>Provider of mines fleet management systems, robotics, EHSM in Russia intended to improve operations efficiency and safety of industrial mining enterprises. The company's products include quarry management system, microprocessor control system signaling, central dispatch system, automated monitoring system, radar systems for the registration of strata movement and others enabling mining and metallurgy, power engineering, science and telecommunications industries to increase operations efficiency and safety, labour productivity, sustainability and decrease operation costs, negative staff influence and maintenance costs.</t>
        </is>
      </c>
      <c r="G176" s="145" t="inlineStr">
        <is>
          <t>Business Products and Services (B2B)</t>
        </is>
      </c>
      <c r="H176" s="146" t="inlineStr">
        <is>
          <t>Commercial Products</t>
        </is>
      </c>
      <c r="I176" s="147" t="inlineStr">
        <is>
          <t>Other Commercial Products</t>
        </is>
      </c>
      <c r="J176" s="148" t="inlineStr">
        <is>
          <t>Other Commercial Products*; Other Hardware; Other Software</t>
        </is>
      </c>
      <c r="K176" s="149" t="inlineStr">
        <is>
          <t>Robotics and Drones</t>
        </is>
      </c>
      <c r="L176" s="150" t="inlineStr">
        <is>
          <t>Venture Capital-Backed</t>
        </is>
      </c>
      <c r="M176" s="151" t="n">
        <v>6.62</v>
      </c>
      <c r="N176" s="152" t="inlineStr">
        <is>
          <t>Generating Revenue</t>
        </is>
      </c>
      <c r="O176" s="153" t="inlineStr">
        <is>
          <t>Privately Held (backing)</t>
        </is>
      </c>
      <c r="P176" s="154" t="inlineStr">
        <is>
          <t>Venture Capital</t>
        </is>
      </c>
      <c r="Q176" s="155" t="inlineStr">
        <is>
          <t>www.vistgroup.ru</t>
        </is>
      </c>
      <c r="R176" s="156" t="inlineStr">
        <is>
          <t/>
        </is>
      </c>
      <c r="S176" s="157" t="inlineStr">
        <is>
          <t/>
        </is>
      </c>
      <c r="T176" s="158" t="inlineStr">
        <is>
          <t/>
        </is>
      </c>
      <c r="U176" s="159" t="n">
        <v>1988.0</v>
      </c>
      <c r="V176" s="160" t="inlineStr">
        <is>
          <t/>
        </is>
      </c>
      <c r="W176" s="161" t="inlineStr">
        <is>
          <t/>
        </is>
      </c>
      <c r="X176" s="162" t="inlineStr">
        <is>
          <t/>
        </is>
      </c>
      <c r="Y176" s="163" t="inlineStr">
        <is>
          <t/>
        </is>
      </c>
      <c r="Z176" s="164" t="inlineStr">
        <is>
          <t/>
        </is>
      </c>
      <c r="AA176" s="165" t="inlineStr">
        <is>
          <t/>
        </is>
      </c>
      <c r="AB176" s="166" t="inlineStr">
        <is>
          <t/>
        </is>
      </c>
      <c r="AC176" s="167" t="inlineStr">
        <is>
          <t/>
        </is>
      </c>
      <c r="AD176" s="168" t="inlineStr">
        <is>
          <t/>
        </is>
      </c>
      <c r="AE176" s="169" t="inlineStr">
        <is>
          <t>159520-06P</t>
        </is>
      </c>
      <c r="AF176" s="170" t="inlineStr">
        <is>
          <t>Dmitry Vladimirov</t>
        </is>
      </c>
      <c r="AG176" s="171" t="inlineStr">
        <is>
          <t>Chief Executive Officer &amp; Co-Founder</t>
        </is>
      </c>
      <c r="AH176" s="172" t="inlineStr">
        <is>
          <t>vladimirov@vistgroup.ru</t>
        </is>
      </c>
      <c r="AI176" s="173" t="inlineStr">
        <is>
          <t>+7 (8)499 975 2217</t>
        </is>
      </c>
      <c r="AJ176" s="174" t="inlineStr">
        <is>
          <t>Moscow, Russia</t>
        </is>
      </c>
      <c r="AK176" s="175" t="inlineStr">
        <is>
          <t>Dokuchaev Pereulok, 3 p 1</t>
        </is>
      </c>
      <c r="AL176" s="176" t="inlineStr">
        <is>
          <t/>
        </is>
      </c>
      <c r="AM176" s="177" t="inlineStr">
        <is>
          <t>Moscow</t>
        </is>
      </c>
      <c r="AN176" s="178" t="inlineStr">
        <is>
          <t/>
        </is>
      </c>
      <c r="AO176" s="179" t="inlineStr">
        <is>
          <t>107078</t>
        </is>
      </c>
      <c r="AP176" s="180" t="inlineStr">
        <is>
          <t>Russia</t>
        </is>
      </c>
      <c r="AQ176" s="181" t="inlineStr">
        <is>
          <t>+7 (8)499 975 2217</t>
        </is>
      </c>
      <c r="AR176" s="182" t="inlineStr">
        <is>
          <t/>
        </is>
      </c>
      <c r="AS176" s="183" t="inlineStr">
        <is>
          <t>info@vistgroup.ru</t>
        </is>
      </c>
      <c r="AT176" s="184" t="inlineStr">
        <is>
          <t>Europe</t>
        </is>
      </c>
      <c r="AU176" s="185" t="inlineStr">
        <is>
          <t>Eastern Europe</t>
        </is>
      </c>
      <c r="AV176" s="186" t="inlineStr">
        <is>
          <t>The company raised $6 million of venture funding from I2BF Global Ventures and VTB Capital Asset Management on April 21, 2017. Funds will be used to conduct R&amp;D within the Intelligent Mine project for creating autonomous mining equipment and to expand into international markets.</t>
        </is>
      </c>
      <c r="AW176" s="187" t="inlineStr">
        <is>
          <t>I2BF Global Ventures, VTB Capital</t>
        </is>
      </c>
      <c r="AX176" s="188" t="n">
        <v>2.0</v>
      </c>
      <c r="AY176" s="189" t="inlineStr">
        <is>
          <t/>
        </is>
      </c>
      <c r="AZ176" s="190" t="inlineStr">
        <is>
          <t/>
        </is>
      </c>
      <c r="BA176" s="191" t="inlineStr">
        <is>
          <t/>
        </is>
      </c>
      <c r="BB176" s="192" t="inlineStr">
        <is>
          <t>I2BF Global Ventures (www.i2bf.com), VTB Capital (www.vtbcapital.com)</t>
        </is>
      </c>
      <c r="BC176" s="193" t="inlineStr">
        <is>
          <t/>
        </is>
      </c>
      <c r="BD176" s="194" t="inlineStr">
        <is>
          <t/>
        </is>
      </c>
      <c r="BE176" s="195" t="inlineStr">
        <is>
          <t/>
        </is>
      </c>
      <c r="BF176" s="196" t="inlineStr">
        <is>
          <t>Skolkovo Foundation (Advisor: General)</t>
        </is>
      </c>
      <c r="BG176" s="197" t="n">
        <v>42846.0</v>
      </c>
      <c r="BH176" s="198" t="n">
        <v>6.62</v>
      </c>
      <c r="BI176" s="199" t="inlineStr">
        <is>
          <t>Actual</t>
        </is>
      </c>
      <c r="BJ176" s="200" t="inlineStr">
        <is>
          <t/>
        </is>
      </c>
      <c r="BK176" s="201" t="inlineStr">
        <is>
          <t/>
        </is>
      </c>
      <c r="BL176" s="202" t="inlineStr">
        <is>
          <t>Later Stage VC</t>
        </is>
      </c>
      <c r="BM176" s="203" t="inlineStr">
        <is>
          <t/>
        </is>
      </c>
      <c r="BN176" s="204" t="inlineStr">
        <is>
          <t/>
        </is>
      </c>
      <c r="BO176" s="205" t="inlineStr">
        <is>
          <t>Venture Capital</t>
        </is>
      </c>
      <c r="BP176" s="206" t="inlineStr">
        <is>
          <t/>
        </is>
      </c>
      <c r="BQ176" s="207" t="inlineStr">
        <is>
          <t/>
        </is>
      </c>
      <c r="BR176" s="208" t="inlineStr">
        <is>
          <t/>
        </is>
      </c>
      <c r="BS176" s="209" t="inlineStr">
        <is>
          <t>Completed</t>
        </is>
      </c>
      <c r="BT176" s="210" t="n">
        <v>42846.0</v>
      </c>
      <c r="BU176" s="211" t="n">
        <v>6.62</v>
      </c>
      <c r="BV176" s="212" t="inlineStr">
        <is>
          <t>Actual</t>
        </is>
      </c>
      <c r="BW176" s="213" t="inlineStr">
        <is>
          <t/>
        </is>
      </c>
      <c r="BX176" s="214" t="inlineStr">
        <is>
          <t/>
        </is>
      </c>
      <c r="BY176" s="215" t="inlineStr">
        <is>
          <t>Later Stage VC</t>
        </is>
      </c>
      <c r="BZ176" s="216" t="inlineStr">
        <is>
          <t/>
        </is>
      </c>
      <c r="CA176" s="217" t="inlineStr">
        <is>
          <t/>
        </is>
      </c>
      <c r="CB176" s="218" t="inlineStr">
        <is>
          <t>Venture Capital</t>
        </is>
      </c>
      <c r="CC176" s="219" t="inlineStr">
        <is>
          <t/>
        </is>
      </c>
      <c r="CD176" s="220" t="inlineStr">
        <is>
          <t/>
        </is>
      </c>
      <c r="CE176" s="221" t="inlineStr">
        <is>
          <t/>
        </is>
      </c>
      <c r="CF176" s="222" t="inlineStr">
        <is>
          <t>Completed</t>
        </is>
      </c>
      <c r="CG176" s="223" t="inlineStr">
        <is>
          <t>1,13%</t>
        </is>
      </c>
      <c r="CH176" s="224" t="inlineStr">
        <is>
          <t>95</t>
        </is>
      </c>
      <c r="CI176" s="225" t="inlineStr">
        <is>
          <t>-0,10%</t>
        </is>
      </c>
      <c r="CJ176" s="226" t="inlineStr">
        <is>
          <t>-7,98%</t>
        </is>
      </c>
      <c r="CK176" s="227" t="inlineStr">
        <is>
          <t>1,80%</t>
        </is>
      </c>
      <c r="CL176" s="228" t="inlineStr">
        <is>
          <t>96</t>
        </is>
      </c>
      <c r="CM176" s="229" t="inlineStr">
        <is>
          <t>0,46%</t>
        </is>
      </c>
      <c r="CN176" s="230" t="inlineStr">
        <is>
          <t>88</t>
        </is>
      </c>
      <c r="CO176" s="231" t="inlineStr">
        <is>
          <t>2,02%</t>
        </is>
      </c>
      <c r="CP176" s="232" t="inlineStr">
        <is>
          <t>95</t>
        </is>
      </c>
      <c r="CQ176" s="233" t="inlineStr">
        <is>
          <t>1,58%</t>
        </is>
      </c>
      <c r="CR176" s="234" t="inlineStr">
        <is>
          <t>95</t>
        </is>
      </c>
      <c r="CS176" s="235" t="inlineStr">
        <is>
          <t>0,46%</t>
        </is>
      </c>
      <c r="CT176" s="236" t="inlineStr">
        <is>
          <t>86</t>
        </is>
      </c>
      <c r="CU176" s="237" t="inlineStr">
        <is>
          <t/>
        </is>
      </c>
      <c r="CV176" s="238" t="inlineStr">
        <is>
          <t/>
        </is>
      </c>
      <c r="CW176" s="239" t="inlineStr">
        <is>
          <t>2,59x</t>
        </is>
      </c>
      <c r="CX176" s="240" t="inlineStr">
        <is>
          <t>69</t>
        </is>
      </c>
      <c r="CY176" s="241" t="inlineStr">
        <is>
          <t>-0,01x</t>
        </is>
      </c>
      <c r="CZ176" s="242" t="inlineStr">
        <is>
          <t>-0,55%</t>
        </is>
      </c>
      <c r="DA176" s="243" t="inlineStr">
        <is>
          <t>4,87x</t>
        </is>
      </c>
      <c r="DB176" s="244" t="inlineStr">
        <is>
          <t>81</t>
        </is>
      </c>
      <c r="DC176" s="245" t="inlineStr">
        <is>
          <t>0,32x</t>
        </is>
      </c>
      <c r="DD176" s="246" t="inlineStr">
        <is>
          <t>28</t>
        </is>
      </c>
      <c r="DE176" s="247" t="inlineStr">
        <is>
          <t>5,23x</t>
        </is>
      </c>
      <c r="DF176" s="248" t="inlineStr">
        <is>
          <t>81</t>
        </is>
      </c>
      <c r="DG176" s="249" t="inlineStr">
        <is>
          <t>4,50x</t>
        </is>
      </c>
      <c r="DH176" s="250" t="inlineStr">
        <is>
          <t>78</t>
        </is>
      </c>
      <c r="DI176" s="251" t="inlineStr">
        <is>
          <t>0,32x</t>
        </is>
      </c>
      <c r="DJ176" s="252" t="inlineStr">
        <is>
          <t>31</t>
        </is>
      </c>
      <c r="DK176" s="253" t="inlineStr">
        <is>
          <t/>
        </is>
      </c>
      <c r="DL176" s="254" t="inlineStr">
        <is>
          <t/>
        </is>
      </c>
      <c r="DM176" s="255" t="inlineStr">
        <is>
          <t>1.909</t>
        </is>
      </c>
      <c r="DN176" s="256" t="inlineStr">
        <is>
          <t>96</t>
        </is>
      </c>
      <c r="DO176" s="257" t="inlineStr">
        <is>
          <t>5,30%</t>
        </is>
      </c>
      <c r="DP176" s="258" t="inlineStr">
        <is>
          <t>250</t>
        </is>
      </c>
      <c r="DQ176" s="259" t="inlineStr">
        <is>
          <t>0</t>
        </is>
      </c>
      <c r="DR176" s="260" t="inlineStr">
        <is>
          <t>0,00%</t>
        </is>
      </c>
      <c r="DS176" s="261" t="inlineStr">
        <is>
          <t>162</t>
        </is>
      </c>
      <c r="DT176" s="262" t="inlineStr">
        <is>
          <t>-1</t>
        </is>
      </c>
      <c r="DU176" s="263" t="inlineStr">
        <is>
          <t>-0,61%</t>
        </is>
      </c>
      <c r="DV176" s="264" t="inlineStr">
        <is>
          <t/>
        </is>
      </c>
      <c r="DW176" s="265" t="inlineStr">
        <is>
          <t/>
        </is>
      </c>
      <c r="DX176" s="266" t="inlineStr">
        <is>
          <t/>
        </is>
      </c>
      <c r="DY176" s="267" t="inlineStr">
        <is>
          <t>PitchBook Research</t>
        </is>
      </c>
      <c r="DZ176" s="786">
        <f>HYPERLINK("https://my.pitchbook.com?c=103477-06", "View company online")</f>
      </c>
    </row>
    <row r="177">
      <c r="A177" s="9" t="inlineStr">
        <is>
          <t>139844-71</t>
        </is>
      </c>
      <c r="B177" s="10" t="inlineStr">
        <is>
          <t>VoxSmart</t>
        </is>
      </c>
      <c r="C177" s="11" t="inlineStr">
        <is>
          <t/>
        </is>
      </c>
      <c r="D177" s="12" t="inlineStr">
        <is>
          <t>VSmart</t>
        </is>
      </c>
      <c r="E177" s="13" t="inlineStr">
        <is>
          <t>139844-71</t>
        </is>
      </c>
      <c r="F177" s="14" t="inlineStr">
        <is>
          <t>Developer of a telecommunication software designed to help companies meet their compliance requirements. The company's telecommunication software, VSmart, captures, records, stores, transcribes and analyses all mobile calls, messages and voicemail using one global platform, providing financial services companies a flexible and failsafe method to record and store mobile calls across the widest range of mobile handsets and on any mobile network.</t>
        </is>
      </c>
      <c r="G177" s="15" t="inlineStr">
        <is>
          <t>Information Technology</t>
        </is>
      </c>
      <c r="H177" s="16" t="inlineStr">
        <is>
          <t>Software</t>
        </is>
      </c>
      <c r="I177" s="17" t="inlineStr">
        <is>
          <t>Network Management Software</t>
        </is>
      </c>
      <c r="J177" s="18" t="inlineStr">
        <is>
          <t>Network Management Software*; Business/Productivity Software</t>
        </is>
      </c>
      <c r="K177" s="19" t="inlineStr">
        <is>
          <t>Mobile</t>
        </is>
      </c>
      <c r="L177" s="20" t="inlineStr">
        <is>
          <t>Venture Capital-Backed</t>
        </is>
      </c>
      <c r="M177" s="21" t="n">
        <v>6.57</v>
      </c>
      <c r="N177" s="22" t="inlineStr">
        <is>
          <t>Generating Revenue</t>
        </is>
      </c>
      <c r="O177" s="23" t="inlineStr">
        <is>
          <t>Privately Held (backing)</t>
        </is>
      </c>
      <c r="P177" s="24" t="inlineStr">
        <is>
          <t>Venture Capital</t>
        </is>
      </c>
      <c r="Q177" s="25" t="inlineStr">
        <is>
          <t>www.voxsmart.com</t>
        </is>
      </c>
      <c r="R177" s="26" t="inlineStr">
        <is>
          <t/>
        </is>
      </c>
      <c r="S177" s="27" t="inlineStr">
        <is>
          <t/>
        </is>
      </c>
      <c r="T177" s="28" t="inlineStr">
        <is>
          <t/>
        </is>
      </c>
      <c r="U177" s="29" t="n">
        <v>2006.0</v>
      </c>
      <c r="V177" s="30" t="inlineStr">
        <is>
          <t/>
        </is>
      </c>
      <c r="W177" s="31" t="inlineStr">
        <is>
          <t/>
        </is>
      </c>
      <c r="X177" s="32" t="inlineStr">
        <is>
          <t/>
        </is>
      </c>
      <c r="Y177" s="33" t="inlineStr">
        <is>
          <t/>
        </is>
      </c>
      <c r="Z177" s="34" t="inlineStr">
        <is>
          <t/>
        </is>
      </c>
      <c r="AA177" s="35" t="inlineStr">
        <is>
          <t/>
        </is>
      </c>
      <c r="AB177" s="36" t="inlineStr">
        <is>
          <t/>
        </is>
      </c>
      <c r="AC177" s="37" t="inlineStr">
        <is>
          <t/>
        </is>
      </c>
      <c r="AD177" s="38" t="inlineStr">
        <is>
          <t/>
        </is>
      </c>
      <c r="AE177" s="39" t="inlineStr">
        <is>
          <t>156490-75P</t>
        </is>
      </c>
      <c r="AF177" s="40" t="inlineStr">
        <is>
          <t>Oliver Blower</t>
        </is>
      </c>
      <c r="AG177" s="41" t="inlineStr">
        <is>
          <t>Board Member &amp; Group Chief Executive Officer</t>
        </is>
      </c>
      <c r="AH177" s="42" t="inlineStr">
        <is>
          <t>oliver.blower@voxsmart.com</t>
        </is>
      </c>
      <c r="AI177" s="43" t="inlineStr">
        <is>
          <t/>
        </is>
      </c>
      <c r="AJ177" s="44" t="inlineStr">
        <is>
          <t>London, United Kingdom</t>
        </is>
      </c>
      <c r="AK177" s="45" t="inlineStr">
        <is>
          <t>57 Charterhouse Street</t>
        </is>
      </c>
      <c r="AL177" s="46" t="inlineStr">
        <is>
          <t/>
        </is>
      </c>
      <c r="AM177" s="47" t="inlineStr">
        <is>
          <t>London</t>
        </is>
      </c>
      <c r="AN177" s="48" t="inlineStr">
        <is>
          <t>England</t>
        </is>
      </c>
      <c r="AO177" s="49" t="inlineStr">
        <is>
          <t>EC1M 6HA</t>
        </is>
      </c>
      <c r="AP177" s="50" t="inlineStr">
        <is>
          <t>United Kingdom</t>
        </is>
      </c>
      <c r="AQ177" s="51" t="inlineStr">
        <is>
          <t/>
        </is>
      </c>
      <c r="AR177" s="52" t="inlineStr">
        <is>
          <t/>
        </is>
      </c>
      <c r="AS177" s="53" t="inlineStr">
        <is>
          <t>info@voxsmart.com</t>
        </is>
      </c>
      <c r="AT177" s="54" t="inlineStr">
        <is>
          <t>Europe</t>
        </is>
      </c>
      <c r="AU177" s="55" t="inlineStr">
        <is>
          <t>Western Europe</t>
        </is>
      </c>
      <c r="AV177" s="56" t="inlineStr">
        <is>
          <t>The company raised $7 million of Series A venture funding in a deal led by Deepbridge Capital on February 6, 2017. Other undisclosed investors also participated in the round. The company will use the funding to strengthen its footprint in capital markets and build out its global presence.</t>
        </is>
      </c>
      <c r="AW177" s="57" t="inlineStr">
        <is>
          <t>Deepbridge Capital</t>
        </is>
      </c>
      <c r="AX177" s="58" t="n">
        <v>1.0</v>
      </c>
      <c r="AY177" s="59" t="inlineStr">
        <is>
          <t/>
        </is>
      </c>
      <c r="AZ177" s="60" t="inlineStr">
        <is>
          <t/>
        </is>
      </c>
      <c r="BA177" s="61" t="inlineStr">
        <is>
          <t/>
        </is>
      </c>
      <c r="BB177" s="62" t="inlineStr">
        <is>
          <t>Deepbridge Capital (www.deepbridgecapital.com)</t>
        </is>
      </c>
      <c r="BC177" s="63" t="inlineStr">
        <is>
          <t/>
        </is>
      </c>
      <c r="BD177" s="64" t="inlineStr">
        <is>
          <t/>
        </is>
      </c>
      <c r="BE177" s="65" t="inlineStr">
        <is>
          <t/>
        </is>
      </c>
      <c r="BF177" s="66" t="inlineStr">
        <is>
          <t/>
        </is>
      </c>
      <c r="BG177" s="67" t="n">
        <v>42772.0</v>
      </c>
      <c r="BH177" s="68" t="n">
        <v>6.57</v>
      </c>
      <c r="BI177" s="69" t="inlineStr">
        <is>
          <t>Actual</t>
        </is>
      </c>
      <c r="BJ177" s="70" t="inlineStr">
        <is>
          <t/>
        </is>
      </c>
      <c r="BK177" s="71" t="inlineStr">
        <is>
          <t/>
        </is>
      </c>
      <c r="BL177" s="72" t="inlineStr">
        <is>
          <t>Later Stage VC</t>
        </is>
      </c>
      <c r="BM177" s="73" t="inlineStr">
        <is>
          <t>Series A</t>
        </is>
      </c>
      <c r="BN177" s="74" t="inlineStr">
        <is>
          <t/>
        </is>
      </c>
      <c r="BO177" s="75" t="inlineStr">
        <is>
          <t>Venture Capital</t>
        </is>
      </c>
      <c r="BP177" s="76" t="inlineStr">
        <is>
          <t/>
        </is>
      </c>
      <c r="BQ177" s="77" t="inlineStr">
        <is>
          <t/>
        </is>
      </c>
      <c r="BR177" s="78" t="inlineStr">
        <is>
          <t/>
        </is>
      </c>
      <c r="BS177" s="79" t="inlineStr">
        <is>
          <t>Completed</t>
        </is>
      </c>
      <c r="BT177" s="80" t="n">
        <v>42772.0</v>
      </c>
      <c r="BU177" s="81" t="n">
        <v>6.57</v>
      </c>
      <c r="BV177" s="82" t="inlineStr">
        <is>
          <t>Actual</t>
        </is>
      </c>
      <c r="BW177" s="83" t="inlineStr">
        <is>
          <t/>
        </is>
      </c>
      <c r="BX177" s="84" t="inlineStr">
        <is>
          <t/>
        </is>
      </c>
      <c r="BY177" s="85" t="inlineStr">
        <is>
          <t>Later Stage VC</t>
        </is>
      </c>
      <c r="BZ177" s="86" t="inlineStr">
        <is>
          <t>Series A</t>
        </is>
      </c>
      <c r="CA177" s="87" t="inlineStr">
        <is>
          <t/>
        </is>
      </c>
      <c r="CB177" s="88" t="inlineStr">
        <is>
          <t>Venture Capital</t>
        </is>
      </c>
      <c r="CC177" s="89" t="inlineStr">
        <is>
          <t/>
        </is>
      </c>
      <c r="CD177" s="90" t="inlineStr">
        <is>
          <t/>
        </is>
      </c>
      <c r="CE177" s="91" t="inlineStr">
        <is>
          <t/>
        </is>
      </c>
      <c r="CF177" s="92" t="inlineStr">
        <is>
          <t>Completed</t>
        </is>
      </c>
      <c r="CG177" s="93" t="inlineStr">
        <is>
          <t>0,01%</t>
        </is>
      </c>
      <c r="CH177" s="94" t="inlineStr">
        <is>
          <t>74</t>
        </is>
      </c>
      <c r="CI177" s="95" t="inlineStr">
        <is>
          <t>-0,02%</t>
        </is>
      </c>
      <c r="CJ177" s="96" t="inlineStr">
        <is>
          <t>-71,96%</t>
        </is>
      </c>
      <c r="CK177" s="97" t="inlineStr">
        <is>
          <t>0,00%</t>
        </is>
      </c>
      <c r="CL177" s="98" t="inlineStr">
        <is>
          <t>28</t>
        </is>
      </c>
      <c r="CM177" s="99" t="inlineStr">
        <is>
          <t>0,01%</t>
        </is>
      </c>
      <c r="CN177" s="100" t="inlineStr">
        <is>
          <t>42</t>
        </is>
      </c>
      <c r="CO177" s="101" t="inlineStr">
        <is>
          <t>0,00%</t>
        </is>
      </c>
      <c r="CP177" s="102" t="inlineStr">
        <is>
          <t>37</t>
        </is>
      </c>
      <c r="CQ177" s="103" t="inlineStr">
        <is>
          <t>0,00%</t>
        </is>
      </c>
      <c r="CR177" s="104" t="inlineStr">
        <is>
          <t>20</t>
        </is>
      </c>
      <c r="CS177" s="105" t="inlineStr">
        <is>
          <t>0,00%</t>
        </is>
      </c>
      <c r="CT177" s="106" t="inlineStr">
        <is>
          <t>18</t>
        </is>
      </c>
      <c r="CU177" s="107" t="inlineStr">
        <is>
          <t>0,02%</t>
        </is>
      </c>
      <c r="CV177" s="108" t="inlineStr">
        <is>
          <t>55</t>
        </is>
      </c>
      <c r="CW177" s="109" t="inlineStr">
        <is>
          <t>2,79x</t>
        </is>
      </c>
      <c r="CX177" s="110" t="inlineStr">
        <is>
          <t>71</t>
        </is>
      </c>
      <c r="CY177" s="111" t="inlineStr">
        <is>
          <t>-0,08x</t>
        </is>
      </c>
      <c r="CZ177" s="112" t="inlineStr">
        <is>
          <t>-2,64%</t>
        </is>
      </c>
      <c r="DA177" s="113" t="inlineStr">
        <is>
          <t>0,60x</t>
        </is>
      </c>
      <c r="DB177" s="114" t="inlineStr">
        <is>
          <t>39</t>
        </is>
      </c>
      <c r="DC177" s="115" t="inlineStr">
        <is>
          <t>4,98x</t>
        </is>
      </c>
      <c r="DD177" s="116" t="inlineStr">
        <is>
          <t>76</t>
        </is>
      </c>
      <c r="DE177" s="117" t="inlineStr">
        <is>
          <t>0,81x</t>
        </is>
      </c>
      <c r="DF177" s="118" t="inlineStr">
        <is>
          <t>45</t>
        </is>
      </c>
      <c r="DG177" s="119" t="inlineStr">
        <is>
          <t>0,39x</t>
        </is>
      </c>
      <c r="DH177" s="120" t="inlineStr">
        <is>
          <t>30</t>
        </is>
      </c>
      <c r="DI177" s="121" t="inlineStr">
        <is>
          <t>0,06x</t>
        </is>
      </c>
      <c r="DJ177" s="122" t="inlineStr">
        <is>
          <t>9</t>
        </is>
      </c>
      <c r="DK177" s="123" t="inlineStr">
        <is>
          <t>9,90x</t>
        </is>
      </c>
      <c r="DL177" s="124" t="inlineStr">
        <is>
          <t>87</t>
        </is>
      </c>
      <c r="DM177" s="125" t="inlineStr">
        <is>
          <t>293</t>
        </is>
      </c>
      <c r="DN177" s="126" t="inlineStr">
        <is>
          <t>20</t>
        </is>
      </c>
      <c r="DO177" s="127" t="inlineStr">
        <is>
          <t>7,33%</t>
        </is>
      </c>
      <c r="DP177" s="128" t="inlineStr">
        <is>
          <t>46</t>
        </is>
      </c>
      <c r="DQ177" s="129" t="inlineStr">
        <is>
          <t>0</t>
        </is>
      </c>
      <c r="DR177" s="130" t="inlineStr">
        <is>
          <t>0,00%</t>
        </is>
      </c>
      <c r="DS177" s="131" t="inlineStr">
        <is>
          <t>14</t>
        </is>
      </c>
      <c r="DT177" s="132" t="inlineStr">
        <is>
          <t>0</t>
        </is>
      </c>
      <c r="DU177" s="133" t="inlineStr">
        <is>
          <t>0,00%</t>
        </is>
      </c>
      <c r="DV177" s="134" t="inlineStr">
        <is>
          <t>3.735</t>
        </is>
      </c>
      <c r="DW177" s="135" t="inlineStr">
        <is>
          <t>-9</t>
        </is>
      </c>
      <c r="DX177" s="136" t="inlineStr">
        <is>
          <t>-0,24%</t>
        </is>
      </c>
      <c r="DY177" s="137" t="inlineStr">
        <is>
          <t>PitchBook Research</t>
        </is>
      </c>
      <c r="DZ177" s="785">
        <f>HYPERLINK("https://my.pitchbook.com?c=139844-71", "View company online")</f>
      </c>
    </row>
    <row r="178">
      <c r="A178" s="139" t="inlineStr">
        <is>
          <t>94889-80</t>
        </is>
      </c>
      <c r="B178" s="140" t="inlineStr">
        <is>
          <t>Smartassistant</t>
        </is>
      </c>
      <c r="C178" s="141" t="inlineStr">
        <is>
          <t/>
        </is>
      </c>
      <c r="D178" s="142" t="inlineStr">
        <is>
          <t/>
        </is>
      </c>
      <c r="E178" s="143" t="inlineStr">
        <is>
          <t>94889-80</t>
        </is>
      </c>
      <c r="F178" s="144" t="inlineStr">
        <is>
          <t>Developer of SaaS technology products designed to help people make smarter decisions effortlessly. The company's digital advice product suite offers businesses a unique technology with a business-user friendly interface that allows them to create intelligent digital advisors that guide a customer's decision-making online, on mobile and at the point of sale (POS), enabling businesses to help their visitors make the best decision - right then and there.</t>
        </is>
      </c>
      <c r="G178" s="145" t="inlineStr">
        <is>
          <t>Information Technology</t>
        </is>
      </c>
      <c r="H178" s="146" t="inlineStr">
        <is>
          <t>Software</t>
        </is>
      </c>
      <c r="I178" s="147" t="inlineStr">
        <is>
          <t>Business/Productivity Software</t>
        </is>
      </c>
      <c r="J178" s="148" t="inlineStr">
        <is>
          <t>Business/Productivity Software*; Vertical Market Software</t>
        </is>
      </c>
      <c r="K178" s="149" t="inlineStr">
        <is>
          <t>SaaS</t>
        </is>
      </c>
      <c r="L178" s="150" t="inlineStr">
        <is>
          <t>Venture Capital-Backed</t>
        </is>
      </c>
      <c r="M178" s="151" t="n">
        <v>6.5</v>
      </c>
      <c r="N178" s="152" t="inlineStr">
        <is>
          <t>Generating Revenue</t>
        </is>
      </c>
      <c r="O178" s="153" t="inlineStr">
        <is>
          <t>Privately Held (backing)</t>
        </is>
      </c>
      <c r="P178" s="154" t="inlineStr">
        <is>
          <t>Venture Capital</t>
        </is>
      </c>
      <c r="Q178" s="155" t="inlineStr">
        <is>
          <t>www.smartassistant.com</t>
        </is>
      </c>
      <c r="R178" s="156" t="n">
        <v>57.0</v>
      </c>
      <c r="S178" s="157" t="inlineStr">
        <is>
          <t/>
        </is>
      </c>
      <c r="T178" s="158" t="inlineStr">
        <is>
          <t/>
        </is>
      </c>
      <c r="U178" s="159" t="n">
        <v>2006.0</v>
      </c>
      <c r="V178" s="160" t="inlineStr">
        <is>
          <t/>
        </is>
      </c>
      <c r="W178" s="161" t="inlineStr">
        <is>
          <t/>
        </is>
      </c>
      <c r="X178" s="162" t="inlineStr">
        <is>
          <t/>
        </is>
      </c>
      <c r="Y178" s="163" t="inlineStr">
        <is>
          <t/>
        </is>
      </c>
      <c r="Z178" s="164" t="inlineStr">
        <is>
          <t/>
        </is>
      </c>
      <c r="AA178" s="165" t="inlineStr">
        <is>
          <t/>
        </is>
      </c>
      <c r="AB178" s="166" t="inlineStr">
        <is>
          <t/>
        </is>
      </c>
      <c r="AC178" s="167" t="inlineStr">
        <is>
          <t/>
        </is>
      </c>
      <c r="AD178" s="168" t="inlineStr">
        <is>
          <t/>
        </is>
      </c>
      <c r="AE178" s="169" t="inlineStr">
        <is>
          <t>139651-66P</t>
        </is>
      </c>
      <c r="AF178" s="170" t="inlineStr">
        <is>
          <t>Markus Linder</t>
        </is>
      </c>
      <c r="AG178" s="171" t="inlineStr">
        <is>
          <t>Co-Founder &amp; Chief Executive Officer</t>
        </is>
      </c>
      <c r="AH178" s="172" t="inlineStr">
        <is>
          <t>markus@smartassistant.com</t>
        </is>
      </c>
      <c r="AI178" s="173" t="inlineStr">
        <is>
          <t>+43 (0)1 890 5318 0</t>
        </is>
      </c>
      <c r="AJ178" s="174" t="inlineStr">
        <is>
          <t>Vienna, Austria</t>
        </is>
      </c>
      <c r="AK178" s="175" t="inlineStr">
        <is>
          <t>Bayerngasse 3/5</t>
        </is>
      </c>
      <c r="AL178" s="176" t="inlineStr">
        <is>
          <t/>
        </is>
      </c>
      <c r="AM178" s="177" t="inlineStr">
        <is>
          <t>Vienna</t>
        </is>
      </c>
      <c r="AN178" s="178" t="inlineStr">
        <is>
          <t/>
        </is>
      </c>
      <c r="AO178" s="179" t="inlineStr">
        <is>
          <t>1030</t>
        </is>
      </c>
      <c r="AP178" s="180" t="inlineStr">
        <is>
          <t>Austria</t>
        </is>
      </c>
      <c r="AQ178" s="181" t="inlineStr">
        <is>
          <t>+43 (0)1 890 5318 0</t>
        </is>
      </c>
      <c r="AR178" s="182" t="inlineStr">
        <is>
          <t/>
        </is>
      </c>
      <c r="AS178" s="183" t="inlineStr">
        <is>
          <t/>
        </is>
      </c>
      <c r="AT178" s="184" t="inlineStr">
        <is>
          <t>Europe</t>
        </is>
      </c>
      <c r="AU178" s="185" t="inlineStr">
        <is>
          <t>Western Europe</t>
        </is>
      </c>
      <c r="AV178" s="186" t="inlineStr">
        <is>
          <t>The company raised $6 million of Series A venture funding in a deal led by Beringea on September 4, 2017. The funds will be used to continue the company's global expansion and further growth of the U.S.-based team. The company raised $8.5 million in total funding.</t>
        </is>
      </c>
      <c r="AW178" s="187" t="inlineStr">
        <is>
          <t>Beringea, INiTS Universitäres Gründerservice, Plug and Play Tech Center</t>
        </is>
      </c>
      <c r="AX178" s="188" t="n">
        <v>3.0</v>
      </c>
      <c r="AY178" s="189" t="inlineStr">
        <is>
          <t/>
        </is>
      </c>
      <c r="AZ178" s="190" t="inlineStr">
        <is>
          <t/>
        </is>
      </c>
      <c r="BA178" s="191" t="inlineStr">
        <is>
          <t/>
        </is>
      </c>
      <c r="BB178" s="192" t="inlineStr">
        <is>
          <t>Beringea (www.beringea.com), INiTS Universitäres Gründerservice (www.inits.at), Plug and Play Tech Center (www.plugandplaytechcenter.com)</t>
        </is>
      </c>
      <c r="BC178" s="193" t="inlineStr">
        <is>
          <t/>
        </is>
      </c>
      <c r="BD178" s="194" t="inlineStr">
        <is>
          <t/>
        </is>
      </c>
      <c r="BE178" s="195" t="inlineStr">
        <is>
          <t/>
        </is>
      </c>
      <c r="BF178" s="196" t="inlineStr">
        <is>
          <t/>
        </is>
      </c>
      <c r="BG178" s="197" t="n">
        <v>41063.0</v>
      </c>
      <c r="BH178" s="198" t="n">
        <v>0.03</v>
      </c>
      <c r="BI178" s="199" t="inlineStr">
        <is>
          <t>Actual</t>
        </is>
      </c>
      <c r="BJ178" s="200" t="inlineStr">
        <is>
          <t/>
        </is>
      </c>
      <c r="BK178" s="201" t="inlineStr">
        <is>
          <t/>
        </is>
      </c>
      <c r="BL178" s="202" t="inlineStr">
        <is>
          <t>Accelerator/Incubator</t>
        </is>
      </c>
      <c r="BM178" s="203" t="inlineStr">
        <is>
          <t/>
        </is>
      </c>
      <c r="BN178" s="204" t="inlineStr">
        <is>
          <t/>
        </is>
      </c>
      <c r="BO178" s="205" t="inlineStr">
        <is>
          <t>Other</t>
        </is>
      </c>
      <c r="BP178" s="206" t="inlineStr">
        <is>
          <t>Loan</t>
        </is>
      </c>
      <c r="BQ178" s="207" t="inlineStr">
        <is>
          <t/>
        </is>
      </c>
      <c r="BR178" s="208" t="inlineStr">
        <is>
          <t/>
        </is>
      </c>
      <c r="BS178" s="209" t="inlineStr">
        <is>
          <t>Completed</t>
        </is>
      </c>
      <c r="BT178" s="210" t="n">
        <v>42982.0</v>
      </c>
      <c r="BU178" s="211" t="n">
        <v>5.03</v>
      </c>
      <c r="BV178" s="212" t="inlineStr">
        <is>
          <t>Actual</t>
        </is>
      </c>
      <c r="BW178" s="213" t="inlineStr">
        <is>
          <t/>
        </is>
      </c>
      <c r="BX178" s="214" t="inlineStr">
        <is>
          <t/>
        </is>
      </c>
      <c r="BY178" s="215" t="inlineStr">
        <is>
          <t>Later Stage VC</t>
        </is>
      </c>
      <c r="BZ178" s="216" t="inlineStr">
        <is>
          <t>Series A</t>
        </is>
      </c>
      <c r="CA178" s="217" t="inlineStr">
        <is>
          <t/>
        </is>
      </c>
      <c r="CB178" s="218" t="inlineStr">
        <is>
          <t>Venture Capital</t>
        </is>
      </c>
      <c r="CC178" s="219" t="inlineStr">
        <is>
          <t/>
        </is>
      </c>
      <c r="CD178" s="220" t="inlineStr">
        <is>
          <t/>
        </is>
      </c>
      <c r="CE178" s="221" t="inlineStr">
        <is>
          <t/>
        </is>
      </c>
      <c r="CF178" s="222" t="inlineStr">
        <is>
          <t>Completed</t>
        </is>
      </c>
      <c r="CG178" s="223" t="inlineStr">
        <is>
          <t>-3,56%</t>
        </is>
      </c>
      <c r="CH178" s="224" t="inlineStr">
        <is>
          <t>6</t>
        </is>
      </c>
      <c r="CI178" s="225" t="inlineStr">
        <is>
          <t>-0,01%</t>
        </is>
      </c>
      <c r="CJ178" s="226" t="inlineStr">
        <is>
          <t>-0,17%</t>
        </is>
      </c>
      <c r="CK178" s="227" t="inlineStr">
        <is>
          <t>-7,19%</t>
        </is>
      </c>
      <c r="CL178" s="228" t="inlineStr">
        <is>
          <t>5</t>
        </is>
      </c>
      <c r="CM178" s="229" t="inlineStr">
        <is>
          <t>0,07%</t>
        </is>
      </c>
      <c r="CN178" s="230" t="inlineStr">
        <is>
          <t>53</t>
        </is>
      </c>
      <c r="CO178" s="231" t="inlineStr">
        <is>
          <t>-14,38%</t>
        </is>
      </c>
      <c r="CP178" s="232" t="inlineStr">
        <is>
          <t>9</t>
        </is>
      </c>
      <c r="CQ178" s="233" t="inlineStr">
        <is>
          <t>0,00%</t>
        </is>
      </c>
      <c r="CR178" s="234" t="inlineStr">
        <is>
          <t>20</t>
        </is>
      </c>
      <c r="CS178" s="235" t="inlineStr">
        <is>
          <t>0,11%</t>
        </is>
      </c>
      <c r="CT178" s="236" t="inlineStr">
        <is>
          <t>58</t>
        </is>
      </c>
      <c r="CU178" s="237" t="inlineStr">
        <is>
          <t>0,03%</t>
        </is>
      </c>
      <c r="CV178" s="238" t="inlineStr">
        <is>
          <t>56</t>
        </is>
      </c>
      <c r="CW178" s="239" t="inlineStr">
        <is>
          <t>2,04x</t>
        </is>
      </c>
      <c r="CX178" s="240" t="inlineStr">
        <is>
          <t>65</t>
        </is>
      </c>
      <c r="CY178" s="241" t="inlineStr">
        <is>
          <t>-0,01x</t>
        </is>
      </c>
      <c r="CZ178" s="242" t="inlineStr">
        <is>
          <t>-0,61%</t>
        </is>
      </c>
      <c r="DA178" s="243" t="inlineStr">
        <is>
          <t>1,55x</t>
        </is>
      </c>
      <c r="DB178" s="244" t="inlineStr">
        <is>
          <t>61</t>
        </is>
      </c>
      <c r="DC178" s="245" t="inlineStr">
        <is>
          <t>2,53x</t>
        </is>
      </c>
      <c r="DD178" s="246" t="inlineStr">
        <is>
          <t>66</t>
        </is>
      </c>
      <c r="DE178" s="247" t="inlineStr">
        <is>
          <t>1,34x</t>
        </is>
      </c>
      <c r="DF178" s="248" t="inlineStr">
        <is>
          <t>57</t>
        </is>
      </c>
      <c r="DG178" s="249" t="inlineStr">
        <is>
          <t>1,75x</t>
        </is>
      </c>
      <c r="DH178" s="250" t="inlineStr">
        <is>
          <t>62</t>
        </is>
      </c>
      <c r="DI178" s="251" t="inlineStr">
        <is>
          <t>1,00x</t>
        </is>
      </c>
      <c r="DJ178" s="252" t="inlineStr">
        <is>
          <t>50</t>
        </is>
      </c>
      <c r="DK178" s="253" t="inlineStr">
        <is>
          <t>4,06x</t>
        </is>
      </c>
      <c r="DL178" s="254" t="inlineStr">
        <is>
          <t>76</t>
        </is>
      </c>
      <c r="DM178" s="255" t="inlineStr">
        <is>
          <t>498</t>
        </is>
      </c>
      <c r="DN178" s="256" t="inlineStr">
        <is>
          <t>-1</t>
        </is>
      </c>
      <c r="DO178" s="257" t="inlineStr">
        <is>
          <t>-0,20%</t>
        </is>
      </c>
      <c r="DP178" s="258" t="inlineStr">
        <is>
          <t>794</t>
        </is>
      </c>
      <c r="DQ178" s="259" t="inlineStr">
        <is>
          <t>0</t>
        </is>
      </c>
      <c r="DR178" s="260" t="inlineStr">
        <is>
          <t>0,00%</t>
        </is>
      </c>
      <c r="DS178" s="261" t="inlineStr">
        <is>
          <t>63</t>
        </is>
      </c>
      <c r="DT178" s="262" t="inlineStr">
        <is>
          <t>0</t>
        </is>
      </c>
      <c r="DU178" s="263" t="inlineStr">
        <is>
          <t>0,00%</t>
        </is>
      </c>
      <c r="DV178" s="264" t="inlineStr">
        <is>
          <t>1.519</t>
        </is>
      </c>
      <c r="DW178" s="265" t="inlineStr">
        <is>
          <t>4</t>
        </is>
      </c>
      <c r="DX178" s="266" t="inlineStr">
        <is>
          <t>0,26%</t>
        </is>
      </c>
      <c r="DY178" s="267" t="inlineStr">
        <is>
          <t>PitchBook Research</t>
        </is>
      </c>
      <c r="DZ178" s="786">
        <f>HYPERLINK("https://my.pitchbook.com?c=94889-80", "View company online")</f>
      </c>
    </row>
    <row r="179">
      <c r="A179" s="9" t="inlineStr">
        <is>
          <t>57016-00</t>
        </is>
      </c>
      <c r="B179" s="10" t="inlineStr">
        <is>
          <t>Immerse (Educational and Training Platform)</t>
        </is>
      </c>
      <c r="C179" s="11" t="inlineStr">
        <is>
          <t>Languagelab.com</t>
        </is>
      </c>
      <c r="D179" s="12" t="inlineStr">
        <is>
          <t/>
        </is>
      </c>
      <c r="E179" s="13" t="inlineStr">
        <is>
          <t>57016-00</t>
        </is>
      </c>
      <c r="F179" s="14" t="inlineStr">
        <is>
          <t>Provider of a 3D virtual platform designed to help in learning and corporate-training services. The company's 3D virtual platform combines e-Learning and 3D simulation in one platform and combines live voice technology with online immersive environments and collaborative learning tools, enabling organizations to deliver live training at scale to employees in different locations.</t>
        </is>
      </c>
      <c r="G179" s="15" t="inlineStr">
        <is>
          <t>Business Products and Services (B2B)</t>
        </is>
      </c>
      <c r="H179" s="16" t="inlineStr">
        <is>
          <t>Commercial Services</t>
        </is>
      </c>
      <c r="I179" s="17" t="inlineStr">
        <is>
          <t>Education and Training Services (B2B)</t>
        </is>
      </c>
      <c r="J179" s="18" t="inlineStr">
        <is>
          <t>Education and Training Services (B2B)*; Human Capital Services; Business/Productivity Software</t>
        </is>
      </c>
      <c r="K179" s="19" t="inlineStr">
        <is>
          <t>EdTech</t>
        </is>
      </c>
      <c r="L179" s="20" t="inlineStr">
        <is>
          <t>Venture Capital-Backed</t>
        </is>
      </c>
      <c r="M179" s="21" t="n">
        <v>6.48</v>
      </c>
      <c r="N179" s="22" t="inlineStr">
        <is>
          <t>Generating Revenue</t>
        </is>
      </c>
      <c r="O179" s="23" t="inlineStr">
        <is>
          <t>Privately Held (backing)</t>
        </is>
      </c>
      <c r="P179" s="24" t="inlineStr">
        <is>
          <t>Venture Capital</t>
        </is>
      </c>
      <c r="Q179" s="25" t="inlineStr">
        <is>
          <t>www.immerse.io</t>
        </is>
      </c>
      <c r="R179" s="26" t="n">
        <v>35.0</v>
      </c>
      <c r="S179" s="27" t="inlineStr">
        <is>
          <t/>
        </is>
      </c>
      <c r="T179" s="28" t="inlineStr">
        <is>
          <t/>
        </is>
      </c>
      <c r="U179" s="29" t="n">
        <v>2005.0</v>
      </c>
      <c r="V179" s="30" t="inlineStr">
        <is>
          <t/>
        </is>
      </c>
      <c r="W179" s="31" t="inlineStr">
        <is>
          <t/>
        </is>
      </c>
      <c r="X179" s="32" t="inlineStr">
        <is>
          <t/>
        </is>
      </c>
      <c r="Y179" s="33" t="inlineStr">
        <is>
          <t/>
        </is>
      </c>
      <c r="Z179" s="34" t="inlineStr">
        <is>
          <t/>
        </is>
      </c>
      <c r="AA179" s="35" t="inlineStr">
        <is>
          <t/>
        </is>
      </c>
      <c r="AB179" s="36" t="inlineStr">
        <is>
          <t/>
        </is>
      </c>
      <c r="AC179" s="37" t="inlineStr">
        <is>
          <t/>
        </is>
      </c>
      <c r="AD179" s="38" t="inlineStr">
        <is>
          <t/>
        </is>
      </c>
      <c r="AE179" s="39" t="inlineStr">
        <is>
          <t>56219-23P</t>
        </is>
      </c>
      <c r="AF179" s="40" t="inlineStr">
        <is>
          <t>Tom Symonds</t>
        </is>
      </c>
      <c r="AG179" s="41" t="inlineStr">
        <is>
          <t>Board Member &amp; Chief Executive Officer</t>
        </is>
      </c>
      <c r="AH179" s="42" t="inlineStr">
        <is>
          <t>tom.symonds@immerselearning.com</t>
        </is>
      </c>
      <c r="AI179" s="43" t="inlineStr">
        <is>
          <t>+44 (0)20 3542 4255</t>
        </is>
      </c>
      <c r="AJ179" s="44" t="inlineStr">
        <is>
          <t>London, United Kingdom</t>
        </is>
      </c>
      <c r="AK179" s="45" t="inlineStr">
        <is>
          <t>Media Village</t>
        </is>
      </c>
      <c r="AL179" s="46" t="inlineStr">
        <is>
          <t>131-151 Great Titchfield Street</t>
        </is>
      </c>
      <c r="AM179" s="47" t="inlineStr">
        <is>
          <t>London</t>
        </is>
      </c>
      <c r="AN179" s="48" t="inlineStr">
        <is>
          <t>England</t>
        </is>
      </c>
      <c r="AO179" s="49" t="inlineStr">
        <is>
          <t>W1W 5BB</t>
        </is>
      </c>
      <c r="AP179" s="50" t="inlineStr">
        <is>
          <t>United Kingdom</t>
        </is>
      </c>
      <c r="AQ179" s="51" t="inlineStr">
        <is>
          <t>+44 (0)20 3542 4255</t>
        </is>
      </c>
      <c r="AR179" s="52" t="inlineStr">
        <is>
          <t/>
        </is>
      </c>
      <c r="AS179" s="53" t="inlineStr">
        <is>
          <t>info@immerse.io</t>
        </is>
      </c>
      <c r="AT179" s="54" t="inlineStr">
        <is>
          <t>Europe</t>
        </is>
      </c>
      <c r="AU179" s="55" t="inlineStr">
        <is>
          <t>Western Europe</t>
        </is>
      </c>
      <c r="AV179" s="56" t="inlineStr">
        <is>
          <t>The company raised GBP 2.32 million of venture funding from undisclosed investors on May 10, 2017, putting the pre-money valuation at GBP 2.59 million. Previously, the company raised GBP 750,000 of venture funding from Leaf Investments, Kerdos Ventures and Jeff Kupsky on June 9, 2014, putting the pre-money valuation at GBP 1.95 million. Anne Glover, Trevor Fenwick and Charles McIntyre also participated in this round.</t>
        </is>
      </c>
      <c r="AW179" s="57" t="inlineStr">
        <is>
          <t>Avonmore Developments, Huda Associates, Kerdos Ventures, Leaf Investments, Stephen Bullock</t>
        </is>
      </c>
      <c r="AX179" s="58" t="n">
        <v>5.0</v>
      </c>
      <c r="AY179" s="59" t="inlineStr">
        <is>
          <t/>
        </is>
      </c>
      <c r="AZ179" s="60" t="inlineStr">
        <is>
          <t/>
        </is>
      </c>
      <c r="BA179" s="61" t="inlineStr">
        <is>
          <t/>
        </is>
      </c>
      <c r="BB179" s="62" t="inlineStr">
        <is>
          <t>Avonmore Developments (www.avonmoredevelopments.com), Huda Associates (www.hudaassociates.com), Kerdos Ventures (www.kerdos.ventures), Leaf Investments (www.leafinvestments.net)</t>
        </is>
      </c>
      <c r="BC179" s="63" t="inlineStr">
        <is>
          <t/>
        </is>
      </c>
      <c r="BD179" s="64" t="inlineStr">
        <is>
          <t/>
        </is>
      </c>
      <c r="BE179" s="65" t="inlineStr">
        <is>
          <t>IBIS Capital (Advisor: General)</t>
        </is>
      </c>
      <c r="BF179" s="66" t="inlineStr">
        <is>
          <t/>
        </is>
      </c>
      <c r="BG179" s="67" t="n">
        <v>40624.0</v>
      </c>
      <c r="BH179" s="68" t="n">
        <v>0.77</v>
      </c>
      <c r="BI179" s="69" t="inlineStr">
        <is>
          <t>Actual</t>
        </is>
      </c>
      <c r="BJ179" s="70" t="n">
        <v>3.01</v>
      </c>
      <c r="BK179" s="71" t="inlineStr">
        <is>
          <t>Actual</t>
        </is>
      </c>
      <c r="BL179" s="72" t="inlineStr">
        <is>
          <t>Early Stage VC</t>
        </is>
      </c>
      <c r="BM179" s="73" t="inlineStr">
        <is>
          <t/>
        </is>
      </c>
      <c r="BN179" s="74" t="inlineStr">
        <is>
          <t/>
        </is>
      </c>
      <c r="BO179" s="75" t="inlineStr">
        <is>
          <t>Venture Capital</t>
        </is>
      </c>
      <c r="BP179" s="76" t="inlineStr">
        <is>
          <t/>
        </is>
      </c>
      <c r="BQ179" s="77" t="inlineStr">
        <is>
          <t/>
        </is>
      </c>
      <c r="BR179" s="78" t="inlineStr">
        <is>
          <t/>
        </is>
      </c>
      <c r="BS179" s="79" t="inlineStr">
        <is>
          <t>Completed</t>
        </is>
      </c>
      <c r="BT179" s="80" t="n">
        <v>42865.0</v>
      </c>
      <c r="BU179" s="81" t="n">
        <v>2.71</v>
      </c>
      <c r="BV179" s="82" t="inlineStr">
        <is>
          <t>Actual</t>
        </is>
      </c>
      <c r="BW179" s="83" t="n">
        <v>5.75</v>
      </c>
      <c r="BX179" s="84" t="inlineStr">
        <is>
          <t>Actual</t>
        </is>
      </c>
      <c r="BY179" s="85" t="inlineStr">
        <is>
          <t>Later Stage VC</t>
        </is>
      </c>
      <c r="BZ179" s="86" t="inlineStr">
        <is>
          <t/>
        </is>
      </c>
      <c r="CA179" s="87" t="inlineStr">
        <is>
          <t/>
        </is>
      </c>
      <c r="CB179" s="88" t="inlineStr">
        <is>
          <t>Venture Capital</t>
        </is>
      </c>
      <c r="CC179" s="89" t="inlineStr">
        <is>
          <t/>
        </is>
      </c>
      <c r="CD179" s="90" t="inlineStr">
        <is>
          <t/>
        </is>
      </c>
      <c r="CE179" s="91" t="inlineStr">
        <is>
          <t/>
        </is>
      </c>
      <c r="CF179" s="92" t="inlineStr">
        <is>
          <t>Completed</t>
        </is>
      </c>
      <c r="CG179" s="93" t="inlineStr">
        <is>
          <t>0,00%</t>
        </is>
      </c>
      <c r="CH179" s="94" t="inlineStr">
        <is>
          <t>33</t>
        </is>
      </c>
      <c r="CI179" s="95" t="inlineStr">
        <is>
          <t>0,00%</t>
        </is>
      </c>
      <c r="CJ179" s="96" t="inlineStr">
        <is>
          <t>-51,53%</t>
        </is>
      </c>
      <c r="CK179" s="97" t="inlineStr">
        <is>
          <t>0,00%</t>
        </is>
      </c>
      <c r="CL179" s="98" t="inlineStr">
        <is>
          <t>28</t>
        </is>
      </c>
      <c r="CM179" s="99" t="inlineStr">
        <is>
          <t>0,01%</t>
        </is>
      </c>
      <c r="CN179" s="100" t="inlineStr">
        <is>
          <t>42</t>
        </is>
      </c>
      <c r="CO179" s="101" t="inlineStr">
        <is>
          <t>0,00%</t>
        </is>
      </c>
      <c r="CP179" s="102" t="inlineStr">
        <is>
          <t>37</t>
        </is>
      </c>
      <c r="CQ179" s="103" t="inlineStr">
        <is>
          <t/>
        </is>
      </c>
      <c r="CR179" s="104" t="inlineStr">
        <is>
          <t/>
        </is>
      </c>
      <c r="CS179" s="105" t="inlineStr">
        <is>
          <t/>
        </is>
      </c>
      <c r="CT179" s="106" t="inlineStr">
        <is>
          <t/>
        </is>
      </c>
      <c r="CU179" s="107" t="inlineStr">
        <is>
          <t>0,01%</t>
        </is>
      </c>
      <c r="CV179" s="108" t="inlineStr">
        <is>
          <t>54</t>
        </is>
      </c>
      <c r="CW179" s="109" t="inlineStr">
        <is>
          <t>31,54x</t>
        </is>
      </c>
      <c r="CX179" s="110" t="inlineStr">
        <is>
          <t>95</t>
        </is>
      </c>
      <c r="CY179" s="111" t="inlineStr">
        <is>
          <t>-0,33x</t>
        </is>
      </c>
      <c r="CZ179" s="112" t="inlineStr">
        <is>
          <t>-1,04%</t>
        </is>
      </c>
      <c r="DA179" s="113" t="inlineStr">
        <is>
          <t>1,62x</t>
        </is>
      </c>
      <c r="DB179" s="114" t="inlineStr">
        <is>
          <t>62</t>
        </is>
      </c>
      <c r="DC179" s="115" t="inlineStr">
        <is>
          <t>61,45x</t>
        </is>
      </c>
      <c r="DD179" s="116" t="inlineStr">
        <is>
          <t>95</t>
        </is>
      </c>
      <c r="DE179" s="117" t="inlineStr">
        <is>
          <t>1,62x</t>
        </is>
      </c>
      <c r="DF179" s="118" t="inlineStr">
        <is>
          <t>62</t>
        </is>
      </c>
      <c r="DG179" s="119" t="inlineStr">
        <is>
          <t/>
        </is>
      </c>
      <c r="DH179" s="120" t="inlineStr">
        <is>
          <t/>
        </is>
      </c>
      <c r="DI179" s="121" t="inlineStr">
        <is>
          <t/>
        </is>
      </c>
      <c r="DJ179" s="122" t="inlineStr">
        <is>
          <t/>
        </is>
      </c>
      <c r="DK179" s="123" t="inlineStr">
        <is>
          <t>61,45x</t>
        </is>
      </c>
      <c r="DL179" s="124" t="inlineStr">
        <is>
          <t>97</t>
        </is>
      </c>
      <c r="DM179" s="125" t="inlineStr">
        <is>
          <t>596</t>
        </is>
      </c>
      <c r="DN179" s="126" t="inlineStr">
        <is>
          <t>15</t>
        </is>
      </c>
      <c r="DO179" s="127" t="inlineStr">
        <is>
          <t>2,58%</t>
        </is>
      </c>
      <c r="DP179" s="128" t="inlineStr">
        <is>
          <t>112</t>
        </is>
      </c>
      <c r="DQ179" s="129" t="inlineStr">
        <is>
          <t>-1</t>
        </is>
      </c>
      <c r="DR179" s="130" t="inlineStr">
        <is>
          <t>-0,88%</t>
        </is>
      </c>
      <c r="DS179" s="131" t="inlineStr">
        <is>
          <t/>
        </is>
      </c>
      <c r="DT179" s="132" t="inlineStr">
        <is>
          <t/>
        </is>
      </c>
      <c r="DU179" s="133" t="inlineStr">
        <is>
          <t/>
        </is>
      </c>
      <c r="DV179" s="134" t="inlineStr">
        <is>
          <t>22.982</t>
        </is>
      </c>
      <c r="DW179" s="135" t="inlineStr">
        <is>
          <t>0</t>
        </is>
      </c>
      <c r="DX179" s="136" t="inlineStr">
        <is>
          <t>0,00%</t>
        </is>
      </c>
      <c r="DY179" s="137" t="inlineStr">
        <is>
          <t>PitchBook Research</t>
        </is>
      </c>
      <c r="DZ179" s="785">
        <f>HYPERLINK("https://my.pitchbook.com?c=57016-00", "View company online")</f>
      </c>
    </row>
    <row r="180">
      <c r="A180" s="139" t="inlineStr">
        <is>
          <t>96757-66</t>
        </is>
      </c>
      <c r="B180" s="140" t="inlineStr">
        <is>
          <t>Starcounter</t>
        </is>
      </c>
      <c r="C180" s="141" t="inlineStr">
        <is>
          <t/>
        </is>
      </c>
      <c r="D180" s="142" t="inlineStr">
        <is>
          <t/>
        </is>
      </c>
      <c r="E180" s="143" t="inlineStr">
        <is>
          <t>96757-66</t>
        </is>
      </c>
      <c r="F180" s="144" t="inlineStr">
        <is>
          <t>Provider of a database management system intended to revitalize enterprise software systems. The company's database management system is a combined in-memory database engine and application server for development of high performance business applications enabling enterprises to make their software applications perform much faster.</t>
        </is>
      </c>
      <c r="G180" s="145" t="inlineStr">
        <is>
          <t>Information Technology</t>
        </is>
      </c>
      <c r="H180" s="146" t="inlineStr">
        <is>
          <t>Software</t>
        </is>
      </c>
      <c r="I180" s="147" t="inlineStr">
        <is>
          <t>Application Software</t>
        </is>
      </c>
      <c r="J180" s="148" t="inlineStr">
        <is>
          <t>Application Software*; Database Software; Business/Productivity Software</t>
        </is>
      </c>
      <c r="K180" s="149" t="inlineStr">
        <is>
          <t>SaaS</t>
        </is>
      </c>
      <c r="L180" s="150" t="inlineStr">
        <is>
          <t>Venture Capital-Backed</t>
        </is>
      </c>
      <c r="M180" s="151" t="n">
        <v>6.44</v>
      </c>
      <c r="N180" s="152" t="inlineStr">
        <is>
          <t>Generating Revenue</t>
        </is>
      </c>
      <c r="O180" s="153" t="inlineStr">
        <is>
          <t>Privately Held (backing)</t>
        </is>
      </c>
      <c r="P180" s="154" t="inlineStr">
        <is>
          <t>Venture Capital</t>
        </is>
      </c>
      <c r="Q180" s="155" t="inlineStr">
        <is>
          <t>www.starcounter.com</t>
        </is>
      </c>
      <c r="R180" s="156" t="n">
        <v>19.0</v>
      </c>
      <c r="S180" s="157" t="inlineStr">
        <is>
          <t/>
        </is>
      </c>
      <c r="T180" s="158" t="inlineStr">
        <is>
          <t/>
        </is>
      </c>
      <c r="U180" s="159" t="n">
        <v>2006.0</v>
      </c>
      <c r="V180" s="160" t="inlineStr">
        <is>
          <t/>
        </is>
      </c>
      <c r="W180" s="161" t="inlineStr">
        <is>
          <t/>
        </is>
      </c>
      <c r="X180" s="162" t="inlineStr">
        <is>
          <t/>
        </is>
      </c>
      <c r="Y180" s="163" t="n">
        <v>2.21021</v>
      </c>
      <c r="Z180" s="164" t="inlineStr">
        <is>
          <t/>
        </is>
      </c>
      <c r="AA180" s="165" t="n">
        <v>-0.95808</v>
      </c>
      <c r="AB180" s="166" t="inlineStr">
        <is>
          <t/>
        </is>
      </c>
      <c r="AC180" s="167" t="n">
        <v>-0.64504</v>
      </c>
      <c r="AD180" s="168" t="inlineStr">
        <is>
          <t>FY 2016</t>
        </is>
      </c>
      <c r="AE180" s="169" t="inlineStr">
        <is>
          <t>91334-53P</t>
        </is>
      </c>
      <c r="AF180" s="170" t="inlineStr">
        <is>
          <t>Kristoffer Lundegren</t>
        </is>
      </c>
      <c r="AG180" s="171" t="inlineStr">
        <is>
          <t>Deputy Chief Executive Officer</t>
        </is>
      </c>
      <c r="AH180" s="172" t="inlineStr">
        <is>
          <t>kristoffer@starcounter.com</t>
        </is>
      </c>
      <c r="AI180" s="173" t="inlineStr">
        <is>
          <t>+46 (0)84 10 28 21 0</t>
        </is>
      </c>
      <c r="AJ180" s="174" t="inlineStr">
        <is>
          <t>Stockholm, Sweden</t>
        </is>
      </c>
      <c r="AK180" s="175" t="inlineStr">
        <is>
          <t>Nybrokajen 5</t>
        </is>
      </c>
      <c r="AL180" s="176" t="inlineStr">
        <is>
          <t/>
        </is>
      </c>
      <c r="AM180" s="177" t="inlineStr">
        <is>
          <t>Stockholm</t>
        </is>
      </c>
      <c r="AN180" s="178" t="inlineStr">
        <is>
          <t/>
        </is>
      </c>
      <c r="AO180" s="179" t="inlineStr">
        <is>
          <t>111 48</t>
        </is>
      </c>
      <c r="AP180" s="180" t="inlineStr">
        <is>
          <t>Sweden</t>
        </is>
      </c>
      <c r="AQ180" s="181" t="inlineStr">
        <is>
          <t>+46 (0)84 10 28 21 0</t>
        </is>
      </c>
      <c r="AR180" s="182" t="inlineStr">
        <is>
          <t/>
        </is>
      </c>
      <c r="AS180" s="183" t="inlineStr">
        <is>
          <t>info@starcounter.com</t>
        </is>
      </c>
      <c r="AT180" s="184" t="inlineStr">
        <is>
          <t>Europe</t>
        </is>
      </c>
      <c r="AU180" s="185" t="inlineStr">
        <is>
          <t>Northern Europe</t>
        </is>
      </c>
      <c r="AV180" s="186" t="inlineStr">
        <is>
          <t>The company raised EUR 2.2 million of grant funding from Horizon 2020 on September 26, 2017. The company raised an EUR 4 million of venture funding from Industrifonden on September 7, 2017.</t>
        </is>
      </c>
      <c r="AW180" s="187" t="inlineStr">
        <is>
          <t>Göran Janson, Horizon 2020, Industrifonden</t>
        </is>
      </c>
      <c r="AX180" s="188" t="n">
        <v>3.0</v>
      </c>
      <c r="AY180" s="189" t="inlineStr">
        <is>
          <t/>
        </is>
      </c>
      <c r="AZ180" s="190" t="inlineStr">
        <is>
          <t/>
        </is>
      </c>
      <c r="BA180" s="191" t="inlineStr">
        <is>
          <t/>
        </is>
      </c>
      <c r="BB180" s="192" t="inlineStr">
        <is>
          <t>Industrifonden (www.industrifonden.com)</t>
        </is>
      </c>
      <c r="BC180" s="193" t="inlineStr">
        <is>
          <t/>
        </is>
      </c>
      <c r="BD180" s="194" t="inlineStr">
        <is>
          <t/>
        </is>
      </c>
      <c r="BE180" s="195" t="inlineStr">
        <is>
          <t/>
        </is>
      </c>
      <c r="BF180" s="196" t="inlineStr">
        <is>
          <t/>
        </is>
      </c>
      <c r="BG180" s="197" t="n">
        <v>42026.0</v>
      </c>
      <c r="BH180" s="198" t="n">
        <v>1.59</v>
      </c>
      <c r="BI180" s="199" t="inlineStr">
        <is>
          <t>Actual</t>
        </is>
      </c>
      <c r="BJ180" s="200" t="inlineStr">
        <is>
          <t/>
        </is>
      </c>
      <c r="BK180" s="201" t="inlineStr">
        <is>
          <t/>
        </is>
      </c>
      <c r="BL180" s="202" t="inlineStr">
        <is>
          <t>Early Stage VC</t>
        </is>
      </c>
      <c r="BM180" s="203" t="inlineStr">
        <is>
          <t/>
        </is>
      </c>
      <c r="BN180" s="204" t="inlineStr">
        <is>
          <t/>
        </is>
      </c>
      <c r="BO180" s="205" t="inlineStr">
        <is>
          <t>Venture Capital</t>
        </is>
      </c>
      <c r="BP180" s="206" t="inlineStr">
        <is>
          <t/>
        </is>
      </c>
      <c r="BQ180" s="207" t="inlineStr">
        <is>
          <t/>
        </is>
      </c>
      <c r="BR180" s="208" t="inlineStr">
        <is>
          <t/>
        </is>
      </c>
      <c r="BS180" s="209" t="inlineStr">
        <is>
          <t>Completed</t>
        </is>
      </c>
      <c r="BT180" s="210" t="n">
        <v>43004.0</v>
      </c>
      <c r="BU180" s="211" t="n">
        <v>2.2</v>
      </c>
      <c r="BV180" s="212" t="inlineStr">
        <is>
          <t>Actual</t>
        </is>
      </c>
      <c r="BW180" s="213" t="inlineStr">
        <is>
          <t/>
        </is>
      </c>
      <c r="BX180" s="214" t="inlineStr">
        <is>
          <t/>
        </is>
      </c>
      <c r="BY180" s="215" t="inlineStr">
        <is>
          <t>Grant</t>
        </is>
      </c>
      <c r="BZ180" s="216" t="inlineStr">
        <is>
          <t/>
        </is>
      </c>
      <c r="CA180" s="217" t="inlineStr">
        <is>
          <t/>
        </is>
      </c>
      <c r="CB180" s="218" t="inlineStr">
        <is>
          <t>Other</t>
        </is>
      </c>
      <c r="CC180" s="219" t="inlineStr">
        <is>
          <t/>
        </is>
      </c>
      <c r="CD180" s="220" t="inlineStr">
        <is>
          <t/>
        </is>
      </c>
      <c r="CE180" s="221" t="inlineStr">
        <is>
          <t/>
        </is>
      </c>
      <c r="CF180" s="222" t="inlineStr">
        <is>
          <t>Completed</t>
        </is>
      </c>
      <c r="CG180" s="223" t="inlineStr">
        <is>
          <t>0,10%</t>
        </is>
      </c>
      <c r="CH180" s="224" t="inlineStr">
        <is>
          <t>82</t>
        </is>
      </c>
      <c r="CI180" s="225" t="inlineStr">
        <is>
          <t>0,03%</t>
        </is>
      </c>
      <c r="CJ180" s="226" t="inlineStr">
        <is>
          <t>34,38%</t>
        </is>
      </c>
      <c r="CK180" s="227" t="inlineStr">
        <is>
          <t>-0,17%</t>
        </is>
      </c>
      <c r="CL180" s="228" t="inlineStr">
        <is>
          <t>27</t>
        </is>
      </c>
      <c r="CM180" s="229" t="inlineStr">
        <is>
          <t>0,37%</t>
        </is>
      </c>
      <c r="CN180" s="230" t="inlineStr">
        <is>
          <t>84</t>
        </is>
      </c>
      <c r="CO180" s="231" t="inlineStr">
        <is>
          <t>0,38%</t>
        </is>
      </c>
      <c r="CP180" s="232" t="inlineStr">
        <is>
          <t>92</t>
        </is>
      </c>
      <c r="CQ180" s="233" t="inlineStr">
        <is>
          <t>-0,72%</t>
        </is>
      </c>
      <c r="CR180" s="234" t="inlineStr">
        <is>
          <t>13</t>
        </is>
      </c>
      <c r="CS180" s="235" t="inlineStr">
        <is>
          <t>0,31%</t>
        </is>
      </c>
      <c r="CT180" s="236" t="inlineStr">
        <is>
          <t>78</t>
        </is>
      </c>
      <c r="CU180" s="237" t="inlineStr">
        <is>
          <t>0,42%</t>
        </is>
      </c>
      <c r="CV180" s="238" t="inlineStr">
        <is>
          <t>89</t>
        </is>
      </c>
      <c r="CW180" s="239" t="inlineStr">
        <is>
          <t>1,07x</t>
        </is>
      </c>
      <c r="CX180" s="240" t="inlineStr">
        <is>
          <t>51</t>
        </is>
      </c>
      <c r="CY180" s="241" t="inlineStr">
        <is>
          <t>-0,01x</t>
        </is>
      </c>
      <c r="CZ180" s="242" t="inlineStr">
        <is>
          <t>-0,63%</t>
        </is>
      </c>
      <c r="DA180" s="243" t="inlineStr">
        <is>
          <t>1,52x</t>
        </is>
      </c>
      <c r="DB180" s="244" t="inlineStr">
        <is>
          <t>61</t>
        </is>
      </c>
      <c r="DC180" s="245" t="inlineStr">
        <is>
          <t>0,62x</t>
        </is>
      </c>
      <c r="DD180" s="246" t="inlineStr">
        <is>
          <t>39</t>
        </is>
      </c>
      <c r="DE180" s="247" t="inlineStr">
        <is>
          <t>0,23x</t>
        </is>
      </c>
      <c r="DF180" s="248" t="inlineStr">
        <is>
          <t>17</t>
        </is>
      </c>
      <c r="DG180" s="249" t="inlineStr">
        <is>
          <t>2,81x</t>
        </is>
      </c>
      <c r="DH180" s="250" t="inlineStr">
        <is>
          <t>71</t>
        </is>
      </c>
      <c r="DI180" s="251" t="inlineStr">
        <is>
          <t>0,26x</t>
        </is>
      </c>
      <c r="DJ180" s="252" t="inlineStr">
        <is>
          <t>28</t>
        </is>
      </c>
      <c r="DK180" s="253" t="inlineStr">
        <is>
          <t>0,97x</t>
        </is>
      </c>
      <c r="DL180" s="254" t="inlineStr">
        <is>
          <t>50</t>
        </is>
      </c>
      <c r="DM180" s="255" t="inlineStr">
        <is>
          <t>243</t>
        </is>
      </c>
      <c r="DN180" s="256" t="inlineStr">
        <is>
          <t>-373</t>
        </is>
      </c>
      <c r="DO180" s="257" t="inlineStr">
        <is>
          <t>-60,55%</t>
        </is>
      </c>
      <c r="DP180" s="258" t="inlineStr">
        <is>
          <t>204</t>
        </is>
      </c>
      <c r="DQ180" s="259" t="inlineStr">
        <is>
          <t>1</t>
        </is>
      </c>
      <c r="DR180" s="260" t="inlineStr">
        <is>
          <t>0,49%</t>
        </is>
      </c>
      <c r="DS180" s="261" t="inlineStr">
        <is>
          <t>101</t>
        </is>
      </c>
      <c r="DT180" s="262" t="inlineStr">
        <is>
          <t>-1</t>
        </is>
      </c>
      <c r="DU180" s="263" t="inlineStr">
        <is>
          <t>-0,98%</t>
        </is>
      </c>
      <c r="DV180" s="264" t="inlineStr">
        <is>
          <t>363</t>
        </is>
      </c>
      <c r="DW180" s="265" t="inlineStr">
        <is>
          <t>6</t>
        </is>
      </c>
      <c r="DX180" s="266" t="inlineStr">
        <is>
          <t>1,68%</t>
        </is>
      </c>
      <c r="DY180" s="267" t="inlineStr">
        <is>
          <t>PitchBook Research</t>
        </is>
      </c>
      <c r="DZ180" s="786">
        <f>HYPERLINK("https://my.pitchbook.com?c=96757-66", "View company online")</f>
      </c>
    </row>
    <row r="181">
      <c r="A181" s="9" t="inlineStr">
        <is>
          <t>56536-84</t>
        </is>
      </c>
      <c r="B181" s="10" t="inlineStr">
        <is>
          <t>Inquisitive Systems</t>
        </is>
      </c>
      <c r="C181" s="11" t="inlineStr">
        <is>
          <t/>
        </is>
      </c>
      <c r="D181" s="12" t="inlineStr">
        <is>
          <t>ZoneFox</t>
        </is>
      </c>
      <c r="E181" s="13" t="inlineStr">
        <is>
          <t>56536-84</t>
        </is>
      </c>
      <c r="F181" s="14" t="inlineStr">
        <is>
          <t>Developer of a User Behavior Analytics platform designed to monitor insider threat detection. The company's UBA platform utilizes machine learning to protect business-critical assets, namely data and intellectual property (IP) with a proven track record of protecting reputation, sales revenue and competitive advantage by providing next generation data monitoring.</t>
        </is>
      </c>
      <c r="G181" s="15" t="inlineStr">
        <is>
          <t>Information Technology</t>
        </is>
      </c>
      <c r="H181" s="16" t="inlineStr">
        <is>
          <t>Software</t>
        </is>
      </c>
      <c r="I181" s="17" t="inlineStr">
        <is>
          <t>Application Software</t>
        </is>
      </c>
      <c r="J181" s="18" t="inlineStr">
        <is>
          <t>Application Software*; Automation/Workflow Software; Business/Productivity Software</t>
        </is>
      </c>
      <c r="K181" s="19" t="inlineStr">
        <is>
          <t>Artificial Intelligence &amp; Machine Learning, Big Data, Cybersecurity, SaaS</t>
        </is>
      </c>
      <c r="L181" s="20" t="inlineStr">
        <is>
          <t>Venture Capital-Backed</t>
        </is>
      </c>
      <c r="M181" s="21" t="n">
        <v>6.17</v>
      </c>
      <c r="N181" s="22" t="inlineStr">
        <is>
          <t>Generating Revenue</t>
        </is>
      </c>
      <c r="O181" s="23" t="inlineStr">
        <is>
          <t>Privately Held (backing)</t>
        </is>
      </c>
      <c r="P181" s="24" t="inlineStr">
        <is>
          <t>Venture Capital</t>
        </is>
      </c>
      <c r="Q181" s="25" t="inlineStr">
        <is>
          <t>www.inquisitive-systems.com</t>
        </is>
      </c>
      <c r="R181" s="26" t="n">
        <v>10.0</v>
      </c>
      <c r="S181" s="27" t="inlineStr">
        <is>
          <t/>
        </is>
      </c>
      <c r="T181" s="28" t="inlineStr">
        <is>
          <t/>
        </is>
      </c>
      <c r="U181" s="29" t="n">
        <v>2010.0</v>
      </c>
      <c r="V181" s="30" t="inlineStr">
        <is>
          <t/>
        </is>
      </c>
      <c r="W181" s="31" t="inlineStr">
        <is>
          <t/>
        </is>
      </c>
      <c r="X181" s="32" t="inlineStr">
        <is>
          <t/>
        </is>
      </c>
      <c r="Y181" s="33" t="inlineStr">
        <is>
          <t/>
        </is>
      </c>
      <c r="Z181" s="34" t="inlineStr">
        <is>
          <t/>
        </is>
      </c>
      <c r="AA181" s="35" t="inlineStr">
        <is>
          <t/>
        </is>
      </c>
      <c r="AB181" s="36" t="inlineStr">
        <is>
          <t/>
        </is>
      </c>
      <c r="AC181" s="37" t="inlineStr">
        <is>
          <t/>
        </is>
      </c>
      <c r="AD181" s="38" t="inlineStr">
        <is>
          <t/>
        </is>
      </c>
      <c r="AE181" s="39" t="inlineStr">
        <is>
          <t>58456-00P</t>
        </is>
      </c>
      <c r="AF181" s="40" t="inlineStr">
        <is>
          <t>Jamie Graves</t>
        </is>
      </c>
      <c r="AG181" s="41" t="inlineStr">
        <is>
          <t>Chief Executive Officer, Co-Founder &amp; Board Member</t>
        </is>
      </c>
      <c r="AH181" s="42" t="inlineStr">
        <is>
          <t>jamie@inquisitive-systems.com</t>
        </is>
      </c>
      <c r="AI181" s="43" t="inlineStr">
        <is>
          <t>+44 (0)84 5388 4999</t>
        </is>
      </c>
      <c r="AJ181" s="44" t="inlineStr">
        <is>
          <t>Edinburgh, United Kingdom</t>
        </is>
      </c>
      <c r="AK181" s="45" t="inlineStr">
        <is>
          <t>Argyle House</t>
        </is>
      </c>
      <c r="AL181" s="46" t="inlineStr">
        <is>
          <t/>
        </is>
      </c>
      <c r="AM181" s="47" t="inlineStr">
        <is>
          <t>Edinburgh</t>
        </is>
      </c>
      <c r="AN181" s="48" t="inlineStr">
        <is>
          <t>Scotland</t>
        </is>
      </c>
      <c r="AO181" s="49" t="inlineStr">
        <is>
          <t>EH3 9DR</t>
        </is>
      </c>
      <c r="AP181" s="50" t="inlineStr">
        <is>
          <t>United Kingdom</t>
        </is>
      </c>
      <c r="AQ181" s="51" t="inlineStr">
        <is>
          <t>+44 (0)84 5388 4999</t>
        </is>
      </c>
      <c r="AR181" s="52" t="inlineStr">
        <is>
          <t/>
        </is>
      </c>
      <c r="AS181" s="53" t="inlineStr">
        <is>
          <t>info@zonefox.com</t>
        </is>
      </c>
      <c r="AT181" s="54" t="inlineStr">
        <is>
          <t>Europe</t>
        </is>
      </c>
      <c r="AU181" s="55" t="inlineStr">
        <is>
          <t>Western Europe</t>
        </is>
      </c>
      <c r="AV181" s="56" t="inlineStr">
        <is>
          <t>The company raised GBP 3.6 million of Series A venture funding in a deal led by Archangels Informal Investment on March 1, 2017. Scottish Enterprise and TriCap also participated in the round. The funding will be used to triple headcount, open new HQ in Edinburgh and set up a team in London.</t>
        </is>
      </c>
      <c r="AW181" s="57" t="inlineStr">
        <is>
          <t>Archangels Informal Investment, CodeBase, Scottish Enterprise, TRI Cap</t>
        </is>
      </c>
      <c r="AX181" s="58" t="n">
        <v>4.0</v>
      </c>
      <c r="AY181" s="59" t="inlineStr">
        <is>
          <t/>
        </is>
      </c>
      <c r="AZ181" s="60" t="inlineStr">
        <is>
          <t/>
        </is>
      </c>
      <c r="BA181" s="61" t="inlineStr">
        <is>
          <t/>
        </is>
      </c>
      <c r="BB181" s="62" t="inlineStr">
        <is>
          <t>Archangels Informal Investment (archangelsonline.com), CodeBase (www.thisiscodebase.com), Scottish Enterprise (www.scottish-enterprise.com), TRI Cap (www.tricapital.co.uk)</t>
        </is>
      </c>
      <c r="BC181" s="63" t="inlineStr">
        <is>
          <t/>
        </is>
      </c>
      <c r="BD181" s="64" t="inlineStr">
        <is>
          <t/>
        </is>
      </c>
      <c r="BE181" s="65" t="inlineStr">
        <is>
          <t>MBM Commercial (Legal Advisor), Harper Macleod (Legal Advisor)</t>
        </is>
      </c>
      <c r="BF181" s="66" t="inlineStr">
        <is>
          <t>Harper Macleod (Legal Advisor)</t>
        </is>
      </c>
      <c r="BG181" s="67" t="n">
        <v>41349.0</v>
      </c>
      <c r="BH181" s="68" t="n">
        <v>0.58</v>
      </c>
      <c r="BI181" s="69" t="inlineStr">
        <is>
          <t>Actual</t>
        </is>
      </c>
      <c r="BJ181" s="70" t="n">
        <v>2.28</v>
      </c>
      <c r="BK181" s="71" t="inlineStr">
        <is>
          <t>Actual</t>
        </is>
      </c>
      <c r="BL181" s="72" t="inlineStr">
        <is>
          <t>Seed Round</t>
        </is>
      </c>
      <c r="BM181" s="73" t="inlineStr">
        <is>
          <t>Seed</t>
        </is>
      </c>
      <c r="BN181" s="74" t="inlineStr">
        <is>
          <t/>
        </is>
      </c>
      <c r="BO181" s="75" t="inlineStr">
        <is>
          <t>Venture Capital</t>
        </is>
      </c>
      <c r="BP181" s="76" t="inlineStr">
        <is>
          <t/>
        </is>
      </c>
      <c r="BQ181" s="77" t="inlineStr">
        <is>
          <t/>
        </is>
      </c>
      <c r="BR181" s="78" t="inlineStr">
        <is>
          <t/>
        </is>
      </c>
      <c r="BS181" s="79" t="inlineStr">
        <is>
          <t>Completed</t>
        </is>
      </c>
      <c r="BT181" s="80" t="n">
        <v>42795.0</v>
      </c>
      <c r="BU181" s="81" t="n">
        <v>4.15</v>
      </c>
      <c r="BV181" s="82" t="inlineStr">
        <is>
          <t>Actual</t>
        </is>
      </c>
      <c r="BW181" s="83" t="inlineStr">
        <is>
          <t/>
        </is>
      </c>
      <c r="BX181" s="84" t="inlineStr">
        <is>
          <t/>
        </is>
      </c>
      <c r="BY181" s="85" t="inlineStr">
        <is>
          <t>Later Stage VC</t>
        </is>
      </c>
      <c r="BZ181" s="86" t="inlineStr">
        <is>
          <t>Series A</t>
        </is>
      </c>
      <c r="CA181" s="87" t="inlineStr">
        <is>
          <t/>
        </is>
      </c>
      <c r="CB181" s="88" t="inlineStr">
        <is>
          <t>Venture Capital</t>
        </is>
      </c>
      <c r="CC181" s="89" t="inlineStr">
        <is>
          <t/>
        </is>
      </c>
      <c r="CD181" s="90" t="inlineStr">
        <is>
          <t/>
        </is>
      </c>
      <c r="CE181" s="91" t="inlineStr">
        <is>
          <t/>
        </is>
      </c>
      <c r="CF181" s="92" t="inlineStr">
        <is>
          <t>Completed</t>
        </is>
      </c>
      <c r="CG181" s="93" t="inlineStr">
        <is>
          <t>-0,26%</t>
        </is>
      </c>
      <c r="CH181" s="94" t="inlineStr">
        <is>
          <t>22</t>
        </is>
      </c>
      <c r="CI181" s="95" t="inlineStr">
        <is>
          <t>0,02%</t>
        </is>
      </c>
      <c r="CJ181" s="96" t="inlineStr">
        <is>
          <t>5,48%</t>
        </is>
      </c>
      <c r="CK181" s="97" t="inlineStr">
        <is>
          <t>-0,88%</t>
        </is>
      </c>
      <c r="CL181" s="98" t="inlineStr">
        <is>
          <t>20</t>
        </is>
      </c>
      <c r="CM181" s="99" t="inlineStr">
        <is>
          <t>0,36%</t>
        </is>
      </c>
      <c r="CN181" s="100" t="inlineStr">
        <is>
          <t>83</t>
        </is>
      </c>
      <c r="CO181" s="101" t="inlineStr">
        <is>
          <t>-1,77%</t>
        </is>
      </c>
      <c r="CP181" s="102" t="inlineStr">
        <is>
          <t>31</t>
        </is>
      </c>
      <c r="CQ181" s="103" t="inlineStr">
        <is>
          <t>0,00%</t>
        </is>
      </c>
      <c r="CR181" s="104" t="inlineStr">
        <is>
          <t>20</t>
        </is>
      </c>
      <c r="CS181" s="105" t="inlineStr">
        <is>
          <t>0,11%</t>
        </is>
      </c>
      <c r="CT181" s="106" t="inlineStr">
        <is>
          <t>58</t>
        </is>
      </c>
      <c r="CU181" s="107" t="inlineStr">
        <is>
          <t>0,61%</t>
        </is>
      </c>
      <c r="CV181" s="108" t="inlineStr">
        <is>
          <t>93</t>
        </is>
      </c>
      <c r="CW181" s="109" t="inlineStr">
        <is>
          <t>1,92x</t>
        </is>
      </c>
      <c r="CX181" s="110" t="inlineStr">
        <is>
          <t>64</t>
        </is>
      </c>
      <c r="CY181" s="111" t="inlineStr">
        <is>
          <t>0,01x</t>
        </is>
      </c>
      <c r="CZ181" s="112" t="inlineStr">
        <is>
          <t>0,63%</t>
        </is>
      </c>
      <c r="DA181" s="113" t="inlineStr">
        <is>
          <t>0,69x</t>
        </is>
      </c>
      <c r="DB181" s="114" t="inlineStr">
        <is>
          <t>42</t>
        </is>
      </c>
      <c r="DC181" s="115" t="inlineStr">
        <is>
          <t>3,16x</t>
        </is>
      </c>
      <c r="DD181" s="116" t="inlineStr">
        <is>
          <t>70</t>
        </is>
      </c>
      <c r="DE181" s="117" t="inlineStr">
        <is>
          <t>0,08x</t>
        </is>
      </c>
      <c r="DF181" s="118" t="inlineStr">
        <is>
          <t>3</t>
        </is>
      </c>
      <c r="DG181" s="119" t="inlineStr">
        <is>
          <t>1,31x</t>
        </is>
      </c>
      <c r="DH181" s="120" t="inlineStr">
        <is>
          <t>56</t>
        </is>
      </c>
      <c r="DI181" s="121" t="inlineStr">
        <is>
          <t>0,15x</t>
        </is>
      </c>
      <c r="DJ181" s="122" t="inlineStr">
        <is>
          <t>19</t>
        </is>
      </c>
      <c r="DK181" s="123" t="inlineStr">
        <is>
          <t>6,17x</t>
        </is>
      </c>
      <c r="DL181" s="124" t="inlineStr">
        <is>
          <t>82</t>
        </is>
      </c>
      <c r="DM181" s="125" t="inlineStr">
        <is>
          <t>37</t>
        </is>
      </c>
      <c r="DN181" s="126" t="inlineStr">
        <is>
          <t>-47</t>
        </is>
      </c>
      <c r="DO181" s="127" t="inlineStr">
        <is>
          <t>-55,95%</t>
        </is>
      </c>
      <c r="DP181" s="128" t="inlineStr">
        <is>
          <t>118</t>
        </is>
      </c>
      <c r="DQ181" s="129" t="inlineStr">
        <is>
          <t>0</t>
        </is>
      </c>
      <c r="DR181" s="130" t="inlineStr">
        <is>
          <t>0,00%</t>
        </is>
      </c>
      <c r="DS181" s="131" t="inlineStr">
        <is>
          <t>47</t>
        </is>
      </c>
      <c r="DT181" s="132" t="inlineStr">
        <is>
          <t>0</t>
        </is>
      </c>
      <c r="DU181" s="133" t="inlineStr">
        <is>
          <t>0,00%</t>
        </is>
      </c>
      <c r="DV181" s="134" t="inlineStr">
        <is>
          <t>2.290</t>
        </is>
      </c>
      <c r="DW181" s="135" t="inlineStr">
        <is>
          <t>35</t>
        </is>
      </c>
      <c r="DX181" s="136" t="inlineStr">
        <is>
          <t>1,55%</t>
        </is>
      </c>
      <c r="DY181" s="137" t="inlineStr">
        <is>
          <t>PitchBook Research</t>
        </is>
      </c>
      <c r="DZ181" s="785">
        <f>HYPERLINK("https://my.pitchbook.com?c=56536-84", "View company online")</f>
      </c>
    </row>
    <row r="182">
      <c r="A182" s="139" t="inlineStr">
        <is>
          <t>105746-95</t>
        </is>
      </c>
      <c r="B182" s="140" t="inlineStr">
        <is>
          <t>SAV Group</t>
        </is>
      </c>
      <c r="C182" s="141" t="inlineStr">
        <is>
          <t/>
        </is>
      </c>
      <c r="D182" s="142" t="inlineStr">
        <is>
          <t/>
        </is>
      </c>
      <c r="E182" s="143" t="inlineStr">
        <is>
          <t>105746-95</t>
        </is>
      </c>
      <c r="F182" s="144" t="inlineStr">
        <is>
          <t>Developer of a cloud-based reverse logistics platform designed to manage after-sales services of electronic goods. The company's cloud-based reverse logistics platform offers a full online return process and optimize cost cutting by intermediate handling and administrative operations with improved data accuracy, reliability and consistency by connecting all the factors of reverse logistics network in to a single platform, enabling companies to simplify after-sales front and back end by reducing costs and maximize lead times.</t>
        </is>
      </c>
      <c r="G182" s="145" t="inlineStr">
        <is>
          <t>Information Technology</t>
        </is>
      </c>
      <c r="H182" s="146" t="inlineStr">
        <is>
          <t>Software</t>
        </is>
      </c>
      <c r="I182" s="147" t="inlineStr">
        <is>
          <t>Business/Productivity Software</t>
        </is>
      </c>
      <c r="J182" s="148" t="inlineStr">
        <is>
          <t>Business/Productivity Software*</t>
        </is>
      </c>
      <c r="K182" s="149" t="inlineStr">
        <is>
          <t>SaaS</t>
        </is>
      </c>
      <c r="L182" s="150" t="inlineStr">
        <is>
          <t>Venture Capital-Backed</t>
        </is>
      </c>
      <c r="M182" s="151" t="n">
        <v>6.1</v>
      </c>
      <c r="N182" s="152" t="inlineStr">
        <is>
          <t>Generating Revenue</t>
        </is>
      </c>
      <c r="O182" s="153" t="inlineStr">
        <is>
          <t>Privately Held (backing)</t>
        </is>
      </c>
      <c r="P182" s="154" t="inlineStr">
        <is>
          <t>Venture Capital</t>
        </is>
      </c>
      <c r="Q182" s="155" t="inlineStr">
        <is>
          <t>www.sav-group.com</t>
        </is>
      </c>
      <c r="R182" s="156" t="n">
        <v>20.0</v>
      </c>
      <c r="S182" s="157" t="inlineStr">
        <is>
          <t/>
        </is>
      </c>
      <c r="T182" s="158" t="inlineStr">
        <is>
          <t/>
        </is>
      </c>
      <c r="U182" s="159" t="n">
        <v>2009.0</v>
      </c>
      <c r="V182" s="160" t="inlineStr">
        <is>
          <t/>
        </is>
      </c>
      <c r="W182" s="161" t="inlineStr">
        <is>
          <t/>
        </is>
      </c>
      <c r="X182" s="162" t="inlineStr">
        <is>
          <t/>
        </is>
      </c>
      <c r="Y182" s="163" t="n">
        <v>1.96101</v>
      </c>
      <c r="Z182" s="164" t="inlineStr">
        <is>
          <t/>
        </is>
      </c>
      <c r="AA182" s="165" t="inlineStr">
        <is>
          <t/>
        </is>
      </c>
      <c r="AB182" s="166" t="inlineStr">
        <is>
          <t/>
        </is>
      </c>
      <c r="AC182" s="167" t="inlineStr">
        <is>
          <t/>
        </is>
      </c>
      <c r="AD182" s="168" t="inlineStr">
        <is>
          <t>FY 2012</t>
        </is>
      </c>
      <c r="AE182" s="169" t="inlineStr">
        <is>
          <t>88267-06P</t>
        </is>
      </c>
      <c r="AF182" s="170" t="inlineStr">
        <is>
          <t>Vincent Torres</t>
        </is>
      </c>
      <c r="AG182" s="171" t="inlineStr">
        <is>
          <t>Co-Founder &amp; Chief Executive Officer</t>
        </is>
      </c>
      <c r="AH182" s="172" t="inlineStr">
        <is>
          <t>vincent@monsav.com</t>
        </is>
      </c>
      <c r="AI182" s="173" t="inlineStr">
        <is>
          <t>+33 (0)1 83 64 52 47</t>
        </is>
      </c>
      <c r="AJ182" s="174" t="inlineStr">
        <is>
          <t>Saint-Ouen, France</t>
        </is>
      </c>
      <c r="AK182" s="175" t="inlineStr">
        <is>
          <t>155/159 Rue Du Docteur Bauer</t>
        </is>
      </c>
      <c r="AL182" s="176" t="inlineStr">
        <is>
          <t/>
        </is>
      </c>
      <c r="AM182" s="177" t="inlineStr">
        <is>
          <t>Saint-Ouen</t>
        </is>
      </c>
      <c r="AN182" s="178" t="inlineStr">
        <is>
          <t/>
        </is>
      </c>
      <c r="AO182" s="179" t="inlineStr">
        <is>
          <t>93400</t>
        </is>
      </c>
      <c r="AP182" s="180" t="inlineStr">
        <is>
          <t>France</t>
        </is>
      </c>
      <c r="AQ182" s="181" t="inlineStr">
        <is>
          <t>+33 (0)1 83 64 52 47</t>
        </is>
      </c>
      <c r="AR182" s="182" t="inlineStr">
        <is>
          <t/>
        </is>
      </c>
      <c r="AS182" s="183" t="inlineStr">
        <is>
          <t/>
        </is>
      </c>
      <c r="AT182" s="184" t="inlineStr">
        <is>
          <t>Europe</t>
        </is>
      </c>
      <c r="AU182" s="185" t="inlineStr">
        <is>
          <t>Western Europe</t>
        </is>
      </c>
      <c r="AV182" s="186" t="inlineStr">
        <is>
          <t>The company raised EUR 5 million of venture funding from CapHorn Invest, C3P Capital and FaDiese on February 22, 2017. FRCI also participated in the round. The company will use the funds to deploy its platform in Europe under revers.io.</t>
        </is>
      </c>
      <c r="AW182" s="187" t="inlineStr">
        <is>
          <t>C3P Capital, CapHorn Invest, EMLYON Incubateur, FaDiese, FRCI, Oxent, Petit Poucet</t>
        </is>
      </c>
      <c r="AX182" s="188" t="n">
        <v>7.0</v>
      </c>
      <c r="AY182" s="189" t="inlineStr">
        <is>
          <t/>
        </is>
      </c>
      <c r="AZ182" s="190" t="inlineStr">
        <is>
          <t/>
        </is>
      </c>
      <c r="BA182" s="191" t="inlineStr">
        <is>
          <t/>
        </is>
      </c>
      <c r="BB182" s="192" t="inlineStr">
        <is>
          <t>C3P Capital (www.c3pcapital.com), CapHorn Invest (www.caphorninvest.fr), EMLYON Incubateur (incub.em-lyon.com), FaDiese (www.fadiese.fr), FRCI (www.frci-idf.com), Oxent (www.oxent.net), Petit Poucet (www.petitpoucet.fr)</t>
        </is>
      </c>
      <c r="BC182" s="193" t="inlineStr">
        <is>
          <t/>
        </is>
      </c>
      <c r="BD182" s="194" t="inlineStr">
        <is>
          <t/>
        </is>
      </c>
      <c r="BE182" s="195" t="inlineStr">
        <is>
          <t/>
        </is>
      </c>
      <c r="BF182" s="196" t="inlineStr">
        <is>
          <t>Aklea Société d'Avocats (Legal Advisor)</t>
        </is>
      </c>
      <c r="BG182" s="197" t="inlineStr">
        <is>
          <t/>
        </is>
      </c>
      <c r="BH182" s="198" t="inlineStr">
        <is>
          <t/>
        </is>
      </c>
      <c r="BI182" s="199" t="inlineStr">
        <is>
          <t/>
        </is>
      </c>
      <c r="BJ182" s="200" t="inlineStr">
        <is>
          <t/>
        </is>
      </c>
      <c r="BK182" s="201" t="inlineStr">
        <is>
          <t/>
        </is>
      </c>
      <c r="BL182" s="202" t="inlineStr">
        <is>
          <t>Early Stage VC</t>
        </is>
      </c>
      <c r="BM182" s="203" t="inlineStr">
        <is>
          <t/>
        </is>
      </c>
      <c r="BN182" s="204" t="inlineStr">
        <is>
          <t/>
        </is>
      </c>
      <c r="BO182" s="205" t="inlineStr">
        <is>
          <t>Venture Capital</t>
        </is>
      </c>
      <c r="BP182" s="206" t="inlineStr">
        <is>
          <t/>
        </is>
      </c>
      <c r="BQ182" s="207" t="inlineStr">
        <is>
          <t/>
        </is>
      </c>
      <c r="BR182" s="208" t="inlineStr">
        <is>
          <t/>
        </is>
      </c>
      <c r="BS182" s="209" t="inlineStr">
        <is>
          <t>Completed</t>
        </is>
      </c>
      <c r="BT182" s="210" t="n">
        <v>42788.0</v>
      </c>
      <c r="BU182" s="211" t="n">
        <v>5.0</v>
      </c>
      <c r="BV182" s="212" t="inlineStr">
        <is>
          <t>Actual</t>
        </is>
      </c>
      <c r="BW182" s="213" t="inlineStr">
        <is>
          <t/>
        </is>
      </c>
      <c r="BX182" s="214" t="inlineStr">
        <is>
          <t/>
        </is>
      </c>
      <c r="BY182" s="215" t="inlineStr">
        <is>
          <t>Later Stage VC</t>
        </is>
      </c>
      <c r="BZ182" s="216" t="inlineStr">
        <is>
          <t/>
        </is>
      </c>
      <c r="CA182" s="217" t="inlineStr">
        <is>
          <t/>
        </is>
      </c>
      <c r="CB182" s="218" t="inlineStr">
        <is>
          <t>Venture Capital</t>
        </is>
      </c>
      <c r="CC182" s="219" t="inlineStr">
        <is>
          <t/>
        </is>
      </c>
      <c r="CD182" s="220" t="inlineStr">
        <is>
          <t/>
        </is>
      </c>
      <c r="CE182" s="221" t="inlineStr">
        <is>
          <t/>
        </is>
      </c>
      <c r="CF182" s="222" t="inlineStr">
        <is>
          <t>Completed</t>
        </is>
      </c>
      <c r="CG182" s="223" t="inlineStr">
        <is>
          <t>0,00%</t>
        </is>
      </c>
      <c r="CH182" s="224" t="inlineStr">
        <is>
          <t>33</t>
        </is>
      </c>
      <c r="CI182" s="225" t="inlineStr">
        <is>
          <t>0,00%</t>
        </is>
      </c>
      <c r="CJ182" s="226" t="inlineStr">
        <is>
          <t>0,00%</t>
        </is>
      </c>
      <c r="CK182" s="227" t="inlineStr">
        <is>
          <t>0,00%</t>
        </is>
      </c>
      <c r="CL182" s="228" t="inlineStr">
        <is>
          <t>28</t>
        </is>
      </c>
      <c r="CM182" s="229" t="inlineStr">
        <is>
          <t>0,00%</t>
        </is>
      </c>
      <c r="CN182" s="230" t="inlineStr">
        <is>
          <t>20</t>
        </is>
      </c>
      <c r="CO182" s="231" t="inlineStr">
        <is>
          <t>0,00%</t>
        </is>
      </c>
      <c r="CP182" s="232" t="inlineStr">
        <is>
          <t>37</t>
        </is>
      </c>
      <c r="CQ182" s="233" t="inlineStr">
        <is>
          <t>0,00%</t>
        </is>
      </c>
      <c r="CR182" s="234" t="inlineStr">
        <is>
          <t>20</t>
        </is>
      </c>
      <c r="CS182" s="235" t="inlineStr">
        <is>
          <t/>
        </is>
      </c>
      <c r="CT182" s="236" t="inlineStr">
        <is>
          <t/>
        </is>
      </c>
      <c r="CU182" s="237" t="inlineStr">
        <is>
          <t>0,00%</t>
        </is>
      </c>
      <c r="CV182" s="238" t="inlineStr">
        <is>
          <t>21</t>
        </is>
      </c>
      <c r="CW182" s="239" t="inlineStr">
        <is>
          <t>0,21x</t>
        </is>
      </c>
      <c r="CX182" s="240" t="inlineStr">
        <is>
          <t>17</t>
        </is>
      </c>
      <c r="CY182" s="241" t="inlineStr">
        <is>
          <t>-0,01x</t>
        </is>
      </c>
      <c r="CZ182" s="242" t="inlineStr">
        <is>
          <t>-2,85%</t>
        </is>
      </c>
      <c r="DA182" s="243" t="inlineStr">
        <is>
          <t>0,31x</t>
        </is>
      </c>
      <c r="DB182" s="244" t="inlineStr">
        <is>
          <t>24</t>
        </is>
      </c>
      <c r="DC182" s="245" t="inlineStr">
        <is>
          <t>0,12x</t>
        </is>
      </c>
      <c r="DD182" s="246" t="inlineStr">
        <is>
          <t>15</t>
        </is>
      </c>
      <c r="DE182" s="247" t="inlineStr">
        <is>
          <t>0,23x</t>
        </is>
      </c>
      <c r="DF182" s="248" t="inlineStr">
        <is>
          <t>17</t>
        </is>
      </c>
      <c r="DG182" s="249" t="inlineStr">
        <is>
          <t>0,39x</t>
        </is>
      </c>
      <c r="DH182" s="250" t="inlineStr">
        <is>
          <t>30</t>
        </is>
      </c>
      <c r="DI182" s="251" t="inlineStr">
        <is>
          <t/>
        </is>
      </c>
      <c r="DJ182" s="252" t="inlineStr">
        <is>
          <t/>
        </is>
      </c>
      <c r="DK182" s="253" t="inlineStr">
        <is>
          <t>0,12x</t>
        </is>
      </c>
      <c r="DL182" s="254" t="inlineStr">
        <is>
          <t>18</t>
        </is>
      </c>
      <c r="DM182" s="255" t="inlineStr">
        <is>
          <t>84</t>
        </is>
      </c>
      <c r="DN182" s="256" t="inlineStr">
        <is>
          <t>0</t>
        </is>
      </c>
      <c r="DO182" s="257" t="inlineStr">
        <is>
          <t>0,00%</t>
        </is>
      </c>
      <c r="DP182" s="258" t="inlineStr">
        <is>
          <t/>
        </is>
      </c>
      <c r="DQ182" s="259" t="inlineStr">
        <is>
          <t/>
        </is>
      </c>
      <c r="DR182" s="260" t="inlineStr">
        <is>
          <t/>
        </is>
      </c>
      <c r="DS182" s="261" t="inlineStr">
        <is>
          <t>14</t>
        </is>
      </c>
      <c r="DT182" s="262" t="inlineStr">
        <is>
          <t>-1</t>
        </is>
      </c>
      <c r="DU182" s="263" t="inlineStr">
        <is>
          <t>-6,67%</t>
        </is>
      </c>
      <c r="DV182" s="264" t="inlineStr">
        <is>
          <t>43</t>
        </is>
      </c>
      <c r="DW182" s="265" t="inlineStr">
        <is>
          <t>0</t>
        </is>
      </c>
      <c r="DX182" s="266" t="inlineStr">
        <is>
          <t>0,00%</t>
        </is>
      </c>
      <c r="DY182" s="267" t="inlineStr">
        <is>
          <t>PitchBook Research</t>
        </is>
      </c>
      <c r="DZ182" s="786">
        <f>HYPERLINK("https://my.pitchbook.com?c=105746-95", "View company online")</f>
      </c>
    </row>
    <row r="183">
      <c r="A183" s="9" t="inlineStr">
        <is>
          <t>57312-37</t>
        </is>
      </c>
      <c r="B183" s="10" t="inlineStr">
        <is>
          <t>Dukosi</t>
        </is>
      </c>
      <c r="C183" s="11" t="inlineStr">
        <is>
          <t/>
        </is>
      </c>
      <c r="D183" s="12" t="inlineStr">
        <is>
          <t/>
        </is>
      </c>
      <c r="E183" s="13" t="inlineStr">
        <is>
          <t>57312-37</t>
        </is>
      </c>
      <c r="F183" s="14" t="inlineStr">
        <is>
          <t>Provider of high performance battery systems designed for electric and hybrid cars. The company's high performance battery systems which have longer lifespans, less wiring and higher second-life value and also provides real time data on individual cell performance, enabling its customers to use clean, renewable electricity powers for vehicles, transport networks, homes and businesses.</t>
        </is>
      </c>
      <c r="G183" s="15" t="inlineStr">
        <is>
          <t>Information Technology</t>
        </is>
      </c>
      <c r="H183" s="16" t="inlineStr">
        <is>
          <t>Semiconductors</t>
        </is>
      </c>
      <c r="I183" s="17" t="inlineStr">
        <is>
          <t>Application Specific Semiconductors</t>
        </is>
      </c>
      <c r="J183" s="18" t="inlineStr">
        <is>
          <t>Application Specific Semiconductors*; Automotive; Energy Storage</t>
        </is>
      </c>
      <c r="K183" s="19" t="inlineStr">
        <is>
          <t>CleanTech, LOHAS &amp; Wellness</t>
        </is>
      </c>
      <c r="L183" s="20" t="inlineStr">
        <is>
          <t>Venture Capital-Backed</t>
        </is>
      </c>
      <c r="M183" s="21" t="n">
        <v>6.01</v>
      </c>
      <c r="N183" s="22" t="inlineStr">
        <is>
          <t>Generating Revenue</t>
        </is>
      </c>
      <c r="O183" s="23" t="inlineStr">
        <is>
          <t>Privately Held (backing)</t>
        </is>
      </c>
      <c r="P183" s="24" t="inlineStr">
        <is>
          <t>Venture Capital</t>
        </is>
      </c>
      <c r="Q183" s="25" t="inlineStr">
        <is>
          <t>www.dukosi.com</t>
        </is>
      </c>
      <c r="R183" s="26" t="n">
        <v>9.0</v>
      </c>
      <c r="S183" s="27" t="inlineStr">
        <is>
          <t/>
        </is>
      </c>
      <c r="T183" s="28" t="inlineStr">
        <is>
          <t/>
        </is>
      </c>
      <c r="U183" s="29" t="n">
        <v>2003.0</v>
      </c>
      <c r="V183" s="30" t="inlineStr">
        <is>
          <t/>
        </is>
      </c>
      <c r="W183" s="31" t="inlineStr">
        <is>
          <t/>
        </is>
      </c>
      <c r="X183" s="32" t="inlineStr">
        <is>
          <t/>
        </is>
      </c>
      <c r="Y183" s="33" t="inlineStr">
        <is>
          <t/>
        </is>
      </c>
      <c r="Z183" s="34" t="inlineStr">
        <is>
          <t/>
        </is>
      </c>
      <c r="AA183" s="35" t="inlineStr">
        <is>
          <t/>
        </is>
      </c>
      <c r="AB183" s="36" t="inlineStr">
        <is>
          <t/>
        </is>
      </c>
      <c r="AC183" s="37" t="inlineStr">
        <is>
          <t/>
        </is>
      </c>
      <c r="AD183" s="38" t="inlineStr">
        <is>
          <t/>
        </is>
      </c>
      <c r="AE183" s="39" t="inlineStr">
        <is>
          <t>50093-83P</t>
        </is>
      </c>
      <c r="AF183" s="40" t="inlineStr">
        <is>
          <t>Julie Murphy</t>
        </is>
      </c>
      <c r="AG183" s="41" t="inlineStr">
        <is>
          <t>Chief Financial Officer</t>
        </is>
      </c>
      <c r="AH183" s="42" t="inlineStr">
        <is>
          <t>julie@dukosi.com</t>
        </is>
      </c>
      <c r="AI183" s="43" t="inlineStr">
        <is>
          <t>+44 (0)13 1445 7772</t>
        </is>
      </c>
      <c r="AJ183" s="44" t="inlineStr">
        <is>
          <t>Edinburgh, United Kingdom</t>
        </is>
      </c>
      <c r="AK183" s="45" t="inlineStr">
        <is>
          <t>Unit 4 Bush House</t>
        </is>
      </c>
      <c r="AL183" s="46" t="inlineStr">
        <is>
          <t>Edinburgh Technopole</t>
        </is>
      </c>
      <c r="AM183" s="47" t="inlineStr">
        <is>
          <t>Edinburgh</t>
        </is>
      </c>
      <c r="AN183" s="48" t="inlineStr">
        <is>
          <t>Scotland</t>
        </is>
      </c>
      <c r="AO183" s="49" t="inlineStr">
        <is>
          <t>EH26 0BB</t>
        </is>
      </c>
      <c r="AP183" s="50" t="inlineStr">
        <is>
          <t>United Kingdom</t>
        </is>
      </c>
      <c r="AQ183" s="51" t="inlineStr">
        <is>
          <t>+44 (0)13 1445 7772</t>
        </is>
      </c>
      <c r="AR183" s="52" t="inlineStr">
        <is>
          <t/>
        </is>
      </c>
      <c r="AS183" s="53" t="inlineStr">
        <is>
          <t>info@dukosi.com</t>
        </is>
      </c>
      <c r="AT183" s="54" t="inlineStr">
        <is>
          <t>Europe</t>
        </is>
      </c>
      <c r="AU183" s="55" t="inlineStr">
        <is>
          <t>Western Europe</t>
        </is>
      </c>
      <c r="AV183" s="56" t="inlineStr">
        <is>
          <t>The company raised GBP 2 million of Series A venture funding in a deal led by IP Group on March 2, 2017. Scottish Enterprise and Par Equity also participated in the round. The company will use the funds for the final development of the semiconductor, including extensive multi-industry certification, and the expansion of the team in Edinburgh with new roles in electronics design, software, cell modelling and electrochemistry.</t>
        </is>
      </c>
      <c r="AW183" s="57" t="inlineStr">
        <is>
          <t>Individual Investor, IP Group United Kingdom, Par Equity, Scottish Enterprise</t>
        </is>
      </c>
      <c r="AX183" s="58" t="n">
        <v>4.0</v>
      </c>
      <c r="AY183" s="59" t="inlineStr">
        <is>
          <t/>
        </is>
      </c>
      <c r="AZ183" s="60" t="inlineStr">
        <is>
          <t/>
        </is>
      </c>
      <c r="BA183" s="61" t="inlineStr">
        <is>
          <t/>
        </is>
      </c>
      <c r="BB183" s="62" t="inlineStr">
        <is>
          <t>IP Group United Kingdom (www.ipgroupplc.com), Par Equity (www.parequity.com), Scottish Enterprise (www.scottish-enterprise.com)</t>
        </is>
      </c>
      <c r="BC183" s="63" t="inlineStr">
        <is>
          <t/>
        </is>
      </c>
      <c r="BD183" s="64" t="inlineStr">
        <is>
          <t/>
        </is>
      </c>
      <c r="BE183" s="65" t="inlineStr">
        <is>
          <t>Duet Partners (Advisor: General)</t>
        </is>
      </c>
      <c r="BF183" s="66" t="inlineStr">
        <is>
          <t>Morton Fraser (Legal Advisor)</t>
        </is>
      </c>
      <c r="BG183" s="67" t="n">
        <v>41130.0</v>
      </c>
      <c r="BH183" s="68" t="n">
        <v>0.27</v>
      </c>
      <c r="BI183" s="69" t="inlineStr">
        <is>
          <t>Actual</t>
        </is>
      </c>
      <c r="BJ183" s="70" t="n">
        <v>1.86</v>
      </c>
      <c r="BK183" s="71" t="inlineStr">
        <is>
          <t>Actual</t>
        </is>
      </c>
      <c r="BL183" s="72" t="inlineStr">
        <is>
          <t>Later Stage VC</t>
        </is>
      </c>
      <c r="BM183" s="73" t="inlineStr">
        <is>
          <t/>
        </is>
      </c>
      <c r="BN183" s="74" t="inlineStr">
        <is>
          <t/>
        </is>
      </c>
      <c r="BO183" s="75" t="inlineStr">
        <is>
          <t>Venture Capital</t>
        </is>
      </c>
      <c r="BP183" s="76" t="inlineStr">
        <is>
          <t/>
        </is>
      </c>
      <c r="BQ183" s="77" t="inlineStr">
        <is>
          <t/>
        </is>
      </c>
      <c r="BR183" s="78" t="inlineStr">
        <is>
          <t/>
        </is>
      </c>
      <c r="BS183" s="79" t="inlineStr">
        <is>
          <t>Completed</t>
        </is>
      </c>
      <c r="BT183" s="80" t="n">
        <v>42796.0</v>
      </c>
      <c r="BU183" s="81" t="n">
        <v>2.31</v>
      </c>
      <c r="BV183" s="82" t="inlineStr">
        <is>
          <t>Actual</t>
        </is>
      </c>
      <c r="BW183" s="83" t="inlineStr">
        <is>
          <t/>
        </is>
      </c>
      <c r="BX183" s="84" t="inlineStr">
        <is>
          <t/>
        </is>
      </c>
      <c r="BY183" s="85" t="inlineStr">
        <is>
          <t>Later Stage VC</t>
        </is>
      </c>
      <c r="BZ183" s="86" t="inlineStr">
        <is>
          <t>Series A</t>
        </is>
      </c>
      <c r="CA183" s="87" t="inlineStr">
        <is>
          <t/>
        </is>
      </c>
      <c r="CB183" s="88" t="inlineStr">
        <is>
          <t>Venture Capital</t>
        </is>
      </c>
      <c r="CC183" s="89" t="inlineStr">
        <is>
          <t/>
        </is>
      </c>
      <c r="CD183" s="90" t="inlineStr">
        <is>
          <t/>
        </is>
      </c>
      <c r="CE183" s="91" t="inlineStr">
        <is>
          <t/>
        </is>
      </c>
      <c r="CF183" s="92" t="inlineStr">
        <is>
          <t>Completed</t>
        </is>
      </c>
      <c r="CG183" s="93" t="inlineStr">
        <is>
          <t>0,04%</t>
        </is>
      </c>
      <c r="CH183" s="94" t="inlineStr">
        <is>
          <t>77</t>
        </is>
      </c>
      <c r="CI183" s="95" t="inlineStr">
        <is>
          <t>-0,07%</t>
        </is>
      </c>
      <c r="CJ183" s="96" t="inlineStr">
        <is>
          <t>-65,01%</t>
        </is>
      </c>
      <c r="CK183" s="97" t="inlineStr">
        <is>
          <t>-0,06%</t>
        </is>
      </c>
      <c r="CL183" s="98" t="inlineStr">
        <is>
          <t>28</t>
        </is>
      </c>
      <c r="CM183" s="99" t="inlineStr">
        <is>
          <t>0,14%</t>
        </is>
      </c>
      <c r="CN183" s="100" t="inlineStr">
        <is>
          <t>64</t>
        </is>
      </c>
      <c r="CO183" s="101" t="inlineStr">
        <is>
          <t>0,00%</t>
        </is>
      </c>
      <c r="CP183" s="102" t="inlineStr">
        <is>
          <t>37</t>
        </is>
      </c>
      <c r="CQ183" s="103" t="inlineStr">
        <is>
          <t>-0,12%</t>
        </is>
      </c>
      <c r="CR183" s="104" t="inlineStr">
        <is>
          <t>19</t>
        </is>
      </c>
      <c r="CS183" s="105" t="inlineStr">
        <is>
          <t/>
        </is>
      </c>
      <c r="CT183" s="106" t="inlineStr">
        <is>
          <t/>
        </is>
      </c>
      <c r="CU183" s="107" t="inlineStr">
        <is>
          <t>0,14%</t>
        </is>
      </c>
      <c r="CV183" s="108" t="inlineStr">
        <is>
          <t>71</t>
        </is>
      </c>
      <c r="CW183" s="109" t="inlineStr">
        <is>
          <t>1,25x</t>
        </is>
      </c>
      <c r="CX183" s="110" t="inlineStr">
        <is>
          <t>54</t>
        </is>
      </c>
      <c r="CY183" s="111" t="inlineStr">
        <is>
          <t>-0,02x</t>
        </is>
      </c>
      <c r="CZ183" s="112" t="inlineStr">
        <is>
          <t>-1,20%</t>
        </is>
      </c>
      <c r="DA183" s="113" t="inlineStr">
        <is>
          <t>1,51x</t>
        </is>
      </c>
      <c r="DB183" s="114" t="inlineStr">
        <is>
          <t>61</t>
        </is>
      </c>
      <c r="DC183" s="115" t="inlineStr">
        <is>
          <t>0,99x</t>
        </is>
      </c>
      <c r="DD183" s="116" t="inlineStr">
        <is>
          <t>48</t>
        </is>
      </c>
      <c r="DE183" s="117" t="inlineStr">
        <is>
          <t>0,54x</t>
        </is>
      </c>
      <c r="DF183" s="118" t="inlineStr">
        <is>
          <t>35</t>
        </is>
      </c>
      <c r="DG183" s="119" t="inlineStr">
        <is>
          <t>2,47x</t>
        </is>
      </c>
      <c r="DH183" s="120" t="inlineStr">
        <is>
          <t>69</t>
        </is>
      </c>
      <c r="DI183" s="121" t="inlineStr">
        <is>
          <t/>
        </is>
      </c>
      <c r="DJ183" s="122" t="inlineStr">
        <is>
          <t/>
        </is>
      </c>
      <c r="DK183" s="123" t="inlineStr">
        <is>
          <t>0,99x</t>
        </is>
      </c>
      <c r="DL183" s="124" t="inlineStr">
        <is>
          <t>50</t>
        </is>
      </c>
      <c r="DM183" s="125" t="inlineStr">
        <is>
          <t>192</t>
        </is>
      </c>
      <c r="DN183" s="126" t="inlineStr">
        <is>
          <t>21</t>
        </is>
      </c>
      <c r="DO183" s="127" t="inlineStr">
        <is>
          <t>12,28%</t>
        </is>
      </c>
      <c r="DP183" s="128" t="inlineStr">
        <is>
          <t/>
        </is>
      </c>
      <c r="DQ183" s="129" t="inlineStr">
        <is>
          <t/>
        </is>
      </c>
      <c r="DR183" s="130" t="inlineStr">
        <is>
          <t/>
        </is>
      </c>
      <c r="DS183" s="131" t="inlineStr">
        <is>
          <t>89</t>
        </is>
      </c>
      <c r="DT183" s="132" t="inlineStr">
        <is>
          <t>-2</t>
        </is>
      </c>
      <c r="DU183" s="133" t="inlineStr">
        <is>
          <t>-2,20%</t>
        </is>
      </c>
      <c r="DV183" s="134" t="inlineStr">
        <is>
          <t>367</t>
        </is>
      </c>
      <c r="DW183" s="135" t="inlineStr">
        <is>
          <t>1</t>
        </is>
      </c>
      <c r="DX183" s="136" t="inlineStr">
        <is>
          <t>0,27%</t>
        </is>
      </c>
      <c r="DY183" s="137" t="inlineStr">
        <is>
          <t>PitchBook Research</t>
        </is>
      </c>
      <c r="DZ183" s="785">
        <f>HYPERLINK("https://my.pitchbook.com?c=57312-37", "View company online")</f>
      </c>
    </row>
    <row r="184">
      <c r="A184" s="139" t="inlineStr">
        <is>
          <t>171024-85</t>
        </is>
      </c>
      <c r="B184" s="140" t="inlineStr">
        <is>
          <t>Aston iTrade Finance</t>
        </is>
      </c>
      <c r="C184" s="141" t="inlineStr">
        <is>
          <t/>
        </is>
      </c>
      <c r="D184" s="142" t="inlineStr">
        <is>
          <t/>
        </is>
      </c>
      <c r="E184" s="143" t="inlineStr">
        <is>
          <t>171024-85</t>
        </is>
      </c>
      <c r="F184" s="144" t="inlineStr">
        <is>
          <t>Developer of Saas based trade receivables management platform designed to facilitate short-term financing and cash optimization companies. The company's Saas based trade receivables management platform covers all the order to cash process stop from clients (working capital), to providers (supply chain funding), optimises the 3 sources of cash : decrease of the terms of payment (dunning, DSO optimization ), the cover of non-payment risk (credit risk management) and the funding (factoring, reverse factoring), enabling corporate, credit insurers and funders to increase cash and short-term financing.</t>
        </is>
      </c>
      <c r="G184" s="145" t="inlineStr">
        <is>
          <t>Information Technology</t>
        </is>
      </c>
      <c r="H184" s="146" t="inlineStr">
        <is>
          <t>Software</t>
        </is>
      </c>
      <c r="I184" s="147" t="inlineStr">
        <is>
          <t>Financial Software</t>
        </is>
      </c>
      <c r="J184" s="148" t="inlineStr">
        <is>
          <t>Financial Software*</t>
        </is>
      </c>
      <c r="K184" s="149" t="inlineStr">
        <is>
          <t>FinTech, SaaS</t>
        </is>
      </c>
      <c r="L184" s="150" t="inlineStr">
        <is>
          <t>Venture Capital-Backed</t>
        </is>
      </c>
      <c r="M184" s="151" t="n">
        <v>6.0</v>
      </c>
      <c r="N184" s="152" t="inlineStr">
        <is>
          <t>Generating Revenue</t>
        </is>
      </c>
      <c r="O184" s="153" t="inlineStr">
        <is>
          <t>Privately Held (backing)</t>
        </is>
      </c>
      <c r="P184" s="154" t="inlineStr">
        <is>
          <t>Venture Capital</t>
        </is>
      </c>
      <c r="Q184" s="155" t="inlineStr">
        <is>
          <t>www.astonitradefinance.com</t>
        </is>
      </c>
      <c r="R184" s="156" t="n">
        <v>31.0</v>
      </c>
      <c r="S184" s="157" t="inlineStr">
        <is>
          <t/>
        </is>
      </c>
      <c r="T184" s="158" t="inlineStr">
        <is>
          <t/>
        </is>
      </c>
      <c r="U184" s="159" t="n">
        <v>2010.0</v>
      </c>
      <c r="V184" s="160" t="inlineStr">
        <is>
          <t/>
        </is>
      </c>
      <c r="W184" s="161" t="inlineStr">
        <is>
          <t/>
        </is>
      </c>
      <c r="X184" s="162" t="inlineStr">
        <is>
          <t/>
        </is>
      </c>
      <c r="Y184" s="163" t="inlineStr">
        <is>
          <t/>
        </is>
      </c>
      <c r="Z184" s="164" t="inlineStr">
        <is>
          <t/>
        </is>
      </c>
      <c r="AA184" s="165" t="inlineStr">
        <is>
          <t/>
        </is>
      </c>
      <c r="AB184" s="166" t="inlineStr">
        <is>
          <t/>
        </is>
      </c>
      <c r="AC184" s="167" t="inlineStr">
        <is>
          <t/>
        </is>
      </c>
      <c r="AD184" s="168" t="inlineStr">
        <is>
          <t/>
        </is>
      </c>
      <c r="AE184" s="169" t="inlineStr">
        <is>
          <t>158049-91P</t>
        </is>
      </c>
      <c r="AF184" s="170" t="inlineStr">
        <is>
          <t>Amaury de la Lance</t>
        </is>
      </c>
      <c r="AG184" s="171" t="inlineStr">
        <is>
          <t>Chief Executive Officer &amp; Founder</t>
        </is>
      </c>
      <c r="AH184" s="172" t="inlineStr">
        <is>
          <t>amaury.lance@astonitradefinance.com</t>
        </is>
      </c>
      <c r="AI184" s="173" t="inlineStr">
        <is>
          <t>+33 (0)1 76 48 42 84</t>
        </is>
      </c>
      <c r="AJ184" s="174" t="inlineStr">
        <is>
          <t>Paris, France</t>
        </is>
      </c>
      <c r="AK184" s="175" t="inlineStr">
        <is>
          <t>Avenue Emile Deschanel</t>
        </is>
      </c>
      <c r="AL184" s="176" t="inlineStr">
        <is>
          <t/>
        </is>
      </c>
      <c r="AM184" s="177" t="inlineStr">
        <is>
          <t>Paris</t>
        </is>
      </c>
      <c r="AN184" s="178" t="inlineStr">
        <is>
          <t/>
        </is>
      </c>
      <c r="AO184" s="179" t="inlineStr">
        <is>
          <t>75007</t>
        </is>
      </c>
      <c r="AP184" s="180" t="inlineStr">
        <is>
          <t>France</t>
        </is>
      </c>
      <c r="AQ184" s="181" t="inlineStr">
        <is>
          <t>+33 (0)1 76 48 42 84</t>
        </is>
      </c>
      <c r="AR184" s="182" t="inlineStr">
        <is>
          <t/>
        </is>
      </c>
      <c r="AS184" s="183" t="inlineStr">
        <is>
          <t>contact@astonitf.com</t>
        </is>
      </c>
      <c r="AT184" s="184" t="inlineStr">
        <is>
          <t>Europe</t>
        </is>
      </c>
      <c r="AU184" s="185" t="inlineStr">
        <is>
          <t>Western Europe</t>
        </is>
      </c>
      <c r="AV184" s="186" t="inlineStr">
        <is>
          <t>The company raised EUR 6 million of venture funding from Seventure Partner on February 2, 2017. the company will use this funding to accelerate its international operations.</t>
        </is>
      </c>
      <c r="AW184" s="187" t="inlineStr">
        <is>
          <t>Seventure Partners</t>
        </is>
      </c>
      <c r="AX184" s="188" t="n">
        <v>1.0</v>
      </c>
      <c r="AY184" s="189" t="inlineStr">
        <is>
          <t/>
        </is>
      </c>
      <c r="AZ184" s="190" t="inlineStr">
        <is>
          <t/>
        </is>
      </c>
      <c r="BA184" s="191" t="inlineStr">
        <is>
          <t/>
        </is>
      </c>
      <c r="BB184" s="192" t="inlineStr">
        <is>
          <t>Seventure Partners (www.seventure.fr)</t>
        </is>
      </c>
      <c r="BC184" s="193" t="inlineStr">
        <is>
          <t/>
        </is>
      </c>
      <c r="BD184" s="194" t="inlineStr">
        <is>
          <t/>
        </is>
      </c>
      <c r="BE184" s="195" t="inlineStr">
        <is>
          <t/>
        </is>
      </c>
      <c r="BF184" s="196" t="inlineStr">
        <is>
          <t>Lamartine Conseil (Legal Advisor)</t>
        </is>
      </c>
      <c r="BG184" s="197" t="n">
        <v>42705.0</v>
      </c>
      <c r="BH184" s="198" t="inlineStr">
        <is>
          <t/>
        </is>
      </c>
      <c r="BI184" s="199" t="inlineStr">
        <is>
          <t/>
        </is>
      </c>
      <c r="BJ184" s="200" t="inlineStr">
        <is>
          <t/>
        </is>
      </c>
      <c r="BK184" s="201" t="inlineStr">
        <is>
          <t/>
        </is>
      </c>
      <c r="BL184" s="202" t="inlineStr">
        <is>
          <t>Later Stage VC</t>
        </is>
      </c>
      <c r="BM184" s="203" t="inlineStr">
        <is>
          <t/>
        </is>
      </c>
      <c r="BN184" s="204" t="inlineStr">
        <is>
          <t/>
        </is>
      </c>
      <c r="BO184" s="205" t="inlineStr">
        <is>
          <t>Venture Capital</t>
        </is>
      </c>
      <c r="BP184" s="206" t="inlineStr">
        <is>
          <t>Other Debt</t>
        </is>
      </c>
      <c r="BQ184" s="207" t="inlineStr">
        <is>
          <t/>
        </is>
      </c>
      <c r="BR184" s="208" t="inlineStr">
        <is>
          <t/>
        </is>
      </c>
      <c r="BS184" s="209" t="inlineStr">
        <is>
          <t>Completed</t>
        </is>
      </c>
      <c r="BT184" s="210" t="n">
        <v>42768.0</v>
      </c>
      <c r="BU184" s="211" t="n">
        <v>6.0</v>
      </c>
      <c r="BV184" s="212" t="inlineStr">
        <is>
          <t>Actual</t>
        </is>
      </c>
      <c r="BW184" s="213" t="inlineStr">
        <is>
          <t/>
        </is>
      </c>
      <c r="BX184" s="214" t="inlineStr">
        <is>
          <t/>
        </is>
      </c>
      <c r="BY184" s="215" t="inlineStr">
        <is>
          <t>Later Stage VC</t>
        </is>
      </c>
      <c r="BZ184" s="216" t="inlineStr">
        <is>
          <t/>
        </is>
      </c>
      <c r="CA184" s="217" t="inlineStr">
        <is>
          <t/>
        </is>
      </c>
      <c r="CB184" s="218" t="inlineStr">
        <is>
          <t>Venture Capital</t>
        </is>
      </c>
      <c r="CC184" s="219" t="inlineStr">
        <is>
          <t/>
        </is>
      </c>
      <c r="CD184" s="220" t="inlineStr">
        <is>
          <t/>
        </is>
      </c>
      <c r="CE184" s="221" t="inlineStr">
        <is>
          <t/>
        </is>
      </c>
      <c r="CF184" s="222" t="inlineStr">
        <is>
          <t>Completed</t>
        </is>
      </c>
      <c r="CG184" s="223" t="inlineStr">
        <is>
          <t>0,09%</t>
        </is>
      </c>
      <c r="CH184" s="224" t="inlineStr">
        <is>
          <t>82</t>
        </is>
      </c>
      <c r="CI184" s="225" t="inlineStr">
        <is>
          <t>-0,02%</t>
        </is>
      </c>
      <c r="CJ184" s="226" t="inlineStr">
        <is>
          <t>-20,05%</t>
        </is>
      </c>
      <c r="CK184" s="227" t="inlineStr">
        <is>
          <t>0,00%</t>
        </is>
      </c>
      <c r="CL184" s="228" t="inlineStr">
        <is>
          <t>28</t>
        </is>
      </c>
      <c r="CM184" s="229" t="inlineStr">
        <is>
          <t>0,18%</t>
        </is>
      </c>
      <c r="CN184" s="230" t="inlineStr">
        <is>
          <t>69</t>
        </is>
      </c>
      <c r="CO184" s="231" t="inlineStr">
        <is>
          <t>0,00%</t>
        </is>
      </c>
      <c r="CP184" s="232" t="inlineStr">
        <is>
          <t>37</t>
        </is>
      </c>
      <c r="CQ184" s="233" t="inlineStr">
        <is>
          <t>0,00%</t>
        </is>
      </c>
      <c r="CR184" s="234" t="inlineStr">
        <is>
          <t>20</t>
        </is>
      </c>
      <c r="CS184" s="235" t="inlineStr">
        <is>
          <t>0,18%</t>
        </is>
      </c>
      <c r="CT184" s="236" t="inlineStr">
        <is>
          <t>67</t>
        </is>
      </c>
      <c r="CU184" s="237" t="inlineStr">
        <is>
          <t>0,18%</t>
        </is>
      </c>
      <c r="CV184" s="238" t="inlineStr">
        <is>
          <t>75</t>
        </is>
      </c>
      <c r="CW184" s="239" t="inlineStr">
        <is>
          <t>1,82x</t>
        </is>
      </c>
      <c r="CX184" s="240" t="inlineStr">
        <is>
          <t>63</t>
        </is>
      </c>
      <c r="CY184" s="241" t="inlineStr">
        <is>
          <t>-0,03x</t>
        </is>
      </c>
      <c r="CZ184" s="242" t="inlineStr">
        <is>
          <t>-1,80%</t>
        </is>
      </c>
      <c r="DA184" s="243" t="inlineStr">
        <is>
          <t>1,58x</t>
        </is>
      </c>
      <c r="DB184" s="244" t="inlineStr">
        <is>
          <t>62</t>
        </is>
      </c>
      <c r="DC184" s="245" t="inlineStr">
        <is>
          <t>2,07x</t>
        </is>
      </c>
      <c r="DD184" s="246" t="inlineStr">
        <is>
          <t>62</t>
        </is>
      </c>
      <c r="DE184" s="247" t="inlineStr">
        <is>
          <t>0,78x</t>
        </is>
      </c>
      <c r="DF184" s="248" t="inlineStr">
        <is>
          <t>44</t>
        </is>
      </c>
      <c r="DG184" s="249" t="inlineStr">
        <is>
          <t>2,39x</t>
        </is>
      </c>
      <c r="DH184" s="250" t="inlineStr">
        <is>
          <t>68</t>
        </is>
      </c>
      <c r="DI184" s="251" t="inlineStr">
        <is>
          <t>0,78x</t>
        </is>
      </c>
      <c r="DJ184" s="252" t="inlineStr">
        <is>
          <t>46</t>
        </is>
      </c>
      <c r="DK184" s="253" t="inlineStr">
        <is>
          <t>3,35x</t>
        </is>
      </c>
      <c r="DL184" s="254" t="inlineStr">
        <is>
          <t>73</t>
        </is>
      </c>
      <c r="DM184" s="255" t="inlineStr">
        <is>
          <t>278</t>
        </is>
      </c>
      <c r="DN184" s="256" t="inlineStr">
        <is>
          <t>30</t>
        </is>
      </c>
      <c r="DO184" s="257" t="inlineStr">
        <is>
          <t>12,10%</t>
        </is>
      </c>
      <c r="DP184" s="258" t="inlineStr">
        <is>
          <t>618</t>
        </is>
      </c>
      <c r="DQ184" s="259" t="inlineStr">
        <is>
          <t>1</t>
        </is>
      </c>
      <c r="DR184" s="260" t="inlineStr">
        <is>
          <t>0,16%</t>
        </is>
      </c>
      <c r="DS184" s="261" t="inlineStr">
        <is>
          <t>87</t>
        </is>
      </c>
      <c r="DT184" s="262" t="inlineStr">
        <is>
          <t>-2</t>
        </is>
      </c>
      <c r="DU184" s="263" t="inlineStr">
        <is>
          <t>-2,25%</t>
        </is>
      </c>
      <c r="DV184" s="264" t="inlineStr">
        <is>
          <t>1.253</t>
        </is>
      </c>
      <c r="DW184" s="265" t="inlineStr">
        <is>
          <t>-2</t>
        </is>
      </c>
      <c r="DX184" s="266" t="inlineStr">
        <is>
          <t>-0,16%</t>
        </is>
      </c>
      <c r="DY184" s="267" t="inlineStr">
        <is>
          <t>PitchBook Research</t>
        </is>
      </c>
      <c r="DZ184" s="786">
        <f>HYPERLINK("https://my.pitchbook.com?c=171024-85", "View company online")</f>
      </c>
    </row>
    <row r="185">
      <c r="A185" s="9" t="inlineStr">
        <is>
          <t>65481-40</t>
        </is>
      </c>
      <c r="B185" s="10" t="inlineStr">
        <is>
          <t>Fazland</t>
        </is>
      </c>
      <c r="C185" s="11" t="inlineStr">
        <is>
          <t/>
        </is>
      </c>
      <c r="D185" s="12" t="inlineStr">
        <is>
          <t/>
        </is>
      </c>
      <c r="E185" s="13" t="inlineStr">
        <is>
          <t>65481-40</t>
        </is>
      </c>
      <c r="F185" s="14" t="inlineStr">
        <is>
          <t>Developer of a cloud-based services platform designed to offer enterprise services. The company's services platform offers accounting, consulting and translation services, enabling customers and companies to interact and close a deal, through a safe, transparent and merit-based platform.</t>
        </is>
      </c>
      <c r="G185" s="15" t="inlineStr">
        <is>
          <t>Business Products and Services (B2B)</t>
        </is>
      </c>
      <c r="H185" s="16" t="inlineStr">
        <is>
          <t>Commercial Services</t>
        </is>
      </c>
      <c r="I185" s="17" t="inlineStr">
        <is>
          <t>Media and Information Services (B2B)</t>
        </is>
      </c>
      <c r="J185" s="18" t="inlineStr">
        <is>
          <t>Media and Information Services (B2B)*; Application Software; Business/Productivity Software</t>
        </is>
      </c>
      <c r="K185" s="19" t="inlineStr">
        <is>
          <t>Mobile, SaaS</t>
        </is>
      </c>
      <c r="L185" s="20" t="inlineStr">
        <is>
          <t>Venture Capital-Backed</t>
        </is>
      </c>
      <c r="M185" s="21" t="n">
        <v>6.0</v>
      </c>
      <c r="N185" s="22" t="inlineStr">
        <is>
          <t>Generating Revenue</t>
        </is>
      </c>
      <c r="O185" s="23" t="inlineStr">
        <is>
          <t>Privately Held (backing)</t>
        </is>
      </c>
      <c r="P185" s="24" t="inlineStr">
        <is>
          <t>Venture Capital</t>
        </is>
      </c>
      <c r="Q185" s="25" t="inlineStr">
        <is>
          <t>www.fazland.com</t>
        </is>
      </c>
      <c r="R185" s="26" t="n">
        <v>30.0</v>
      </c>
      <c r="S185" s="27" t="inlineStr">
        <is>
          <t/>
        </is>
      </c>
      <c r="T185" s="28" t="inlineStr">
        <is>
          <t/>
        </is>
      </c>
      <c r="U185" s="29" t="n">
        <v>2011.0</v>
      </c>
      <c r="V185" s="30" t="inlineStr">
        <is>
          <t/>
        </is>
      </c>
      <c r="W185" s="31" t="inlineStr">
        <is>
          <t/>
        </is>
      </c>
      <c r="X185" s="32" t="inlineStr">
        <is>
          <t/>
        </is>
      </c>
      <c r="Y185" s="33" t="n">
        <v>1.05293</v>
      </c>
      <c r="Z185" s="34" t="inlineStr">
        <is>
          <t/>
        </is>
      </c>
      <c r="AA185" s="35" t="inlineStr">
        <is>
          <t/>
        </is>
      </c>
      <c r="AB185" s="36" t="inlineStr">
        <is>
          <t/>
        </is>
      </c>
      <c r="AC185" s="37" t="inlineStr">
        <is>
          <t/>
        </is>
      </c>
      <c r="AD185" s="38" t="inlineStr">
        <is>
          <t>FY 2016</t>
        </is>
      </c>
      <c r="AE185" s="39" t="inlineStr">
        <is>
          <t>74160-64P</t>
        </is>
      </c>
      <c r="AF185" s="40" t="inlineStr">
        <is>
          <t>Vittorio Guarini</t>
        </is>
      </c>
      <c r="AG185" s="41" t="inlineStr">
        <is>
          <t>Chief Executive Officer &amp; Co-Founder</t>
        </is>
      </c>
      <c r="AH185" s="42" t="inlineStr">
        <is>
          <t>vittorio.guarini@fazland.com</t>
        </is>
      </c>
      <c r="AI185" s="43" t="inlineStr">
        <is>
          <t/>
        </is>
      </c>
      <c r="AJ185" s="44" t="inlineStr">
        <is>
          <t>Reggio Emilia, Italy</t>
        </is>
      </c>
      <c r="AK185" s="45" t="inlineStr">
        <is>
          <t>Via dello Statuto, 3</t>
        </is>
      </c>
      <c r="AL185" s="46" t="inlineStr">
        <is>
          <t/>
        </is>
      </c>
      <c r="AM185" s="47" t="inlineStr">
        <is>
          <t>Reggio Emilia</t>
        </is>
      </c>
      <c r="AN185" s="48" t="inlineStr">
        <is>
          <t/>
        </is>
      </c>
      <c r="AO185" s="49" t="inlineStr">
        <is>
          <t>42123</t>
        </is>
      </c>
      <c r="AP185" s="50" t="inlineStr">
        <is>
          <t>Italy</t>
        </is>
      </c>
      <c r="AQ185" s="51" t="inlineStr">
        <is>
          <t/>
        </is>
      </c>
      <c r="AR185" s="52" t="inlineStr">
        <is>
          <t/>
        </is>
      </c>
      <c r="AS185" s="53" t="inlineStr">
        <is>
          <t>info@fazland.com</t>
        </is>
      </c>
      <c r="AT185" s="54" t="inlineStr">
        <is>
          <t>Europe</t>
        </is>
      </c>
      <c r="AU185" s="55" t="inlineStr">
        <is>
          <t>Southern Europe</t>
        </is>
      </c>
      <c r="AV185" s="56" t="inlineStr">
        <is>
          <t>The company raised EUR 4.5 million of venture funding in a deal led by RedSeed Ventures on February 27, 2017. Ad4Ventures and other undisclosed investors also participated in this round. The company intends to use the capital to continue to expand its operations.</t>
        </is>
      </c>
      <c r="AW185" s="57" t="inlineStr">
        <is>
          <t>Ad4Ventures, B-Engine, Custodi di Successo, European Regional Development Fund, Fausta Pavesio, Lapam, RedSeed Ventures, ZernikeMeta Ventures</t>
        </is>
      </c>
      <c r="AX185" s="58" t="n">
        <v>8.0</v>
      </c>
      <c r="AY185" s="59" t="inlineStr">
        <is>
          <t/>
        </is>
      </c>
      <c r="AZ185" s="60" t="inlineStr">
        <is>
          <t/>
        </is>
      </c>
      <c r="BA185" s="61" t="inlineStr">
        <is>
          <t/>
        </is>
      </c>
      <c r="BB185" s="62" t="inlineStr">
        <is>
          <t>Ad4Ventures (www.ad4ventures.com), B-Engine (www.b-engine.it), Custodi di Successo (www.custodidisuccesso.it), European Regional Development Fund (www.efre.brandenburg.de), Lapam (www.lapam.eu), RedSeed Ventures (www.redseed.it), ZernikeMeta Ventures (www.metazernikeventures.it)</t>
        </is>
      </c>
      <c r="BC185" s="63" t="inlineStr">
        <is>
          <t/>
        </is>
      </c>
      <c r="BD185" s="64" t="inlineStr">
        <is>
          <t/>
        </is>
      </c>
      <c r="BE185" s="65" t="inlineStr">
        <is>
          <t>Scalabrini Cadoppi &amp; Associati (Legal Advisor)</t>
        </is>
      </c>
      <c r="BF185" s="66" t="inlineStr">
        <is>
          <t>Scalabrini Cadoppi &amp; Associati (Legal Advisor)</t>
        </is>
      </c>
      <c r="BG185" s="67" t="inlineStr">
        <is>
          <t/>
        </is>
      </c>
      <c r="BH185" s="68" t="inlineStr">
        <is>
          <t/>
        </is>
      </c>
      <c r="BI185" s="69" t="inlineStr">
        <is>
          <t/>
        </is>
      </c>
      <c r="BJ185" s="70" t="inlineStr">
        <is>
          <t/>
        </is>
      </c>
      <c r="BK185" s="71" t="inlineStr">
        <is>
          <t/>
        </is>
      </c>
      <c r="BL185" s="72" t="inlineStr">
        <is>
          <t>Grant</t>
        </is>
      </c>
      <c r="BM185" s="73" t="inlineStr">
        <is>
          <t/>
        </is>
      </c>
      <c r="BN185" s="74" t="inlineStr">
        <is>
          <t/>
        </is>
      </c>
      <c r="BO185" s="75" t="inlineStr">
        <is>
          <t>Other</t>
        </is>
      </c>
      <c r="BP185" s="76" t="inlineStr">
        <is>
          <t/>
        </is>
      </c>
      <c r="BQ185" s="77" t="inlineStr">
        <is>
          <t/>
        </is>
      </c>
      <c r="BR185" s="78" t="inlineStr">
        <is>
          <t/>
        </is>
      </c>
      <c r="BS185" s="79" t="inlineStr">
        <is>
          <t>Completed</t>
        </is>
      </c>
      <c r="BT185" s="80" t="n">
        <v>42793.0</v>
      </c>
      <c r="BU185" s="81" t="n">
        <v>4.5</v>
      </c>
      <c r="BV185" s="82" t="inlineStr">
        <is>
          <t>Actual</t>
        </is>
      </c>
      <c r="BW185" s="83" t="inlineStr">
        <is>
          <t/>
        </is>
      </c>
      <c r="BX185" s="84" t="inlineStr">
        <is>
          <t/>
        </is>
      </c>
      <c r="BY185" s="85" t="inlineStr">
        <is>
          <t>Later Stage VC</t>
        </is>
      </c>
      <c r="BZ185" s="86" t="inlineStr">
        <is>
          <t/>
        </is>
      </c>
      <c r="CA185" s="87" t="inlineStr">
        <is>
          <t/>
        </is>
      </c>
      <c r="CB185" s="88" t="inlineStr">
        <is>
          <t>Venture Capital</t>
        </is>
      </c>
      <c r="CC185" s="89" t="inlineStr">
        <is>
          <t/>
        </is>
      </c>
      <c r="CD185" s="90" t="inlineStr">
        <is>
          <t/>
        </is>
      </c>
      <c r="CE185" s="91" t="inlineStr">
        <is>
          <t/>
        </is>
      </c>
      <c r="CF185" s="92" t="inlineStr">
        <is>
          <t>Completed</t>
        </is>
      </c>
      <c r="CG185" s="93" t="inlineStr">
        <is>
          <t>-1,75%</t>
        </is>
      </c>
      <c r="CH185" s="94" t="inlineStr">
        <is>
          <t>10</t>
        </is>
      </c>
      <c r="CI185" s="95" t="inlineStr">
        <is>
          <t>-0,12%</t>
        </is>
      </c>
      <c r="CJ185" s="96" t="inlineStr">
        <is>
          <t>-7,63%</t>
        </is>
      </c>
      <c r="CK185" s="97" t="inlineStr">
        <is>
          <t>-1,85%</t>
        </is>
      </c>
      <c r="CL185" s="98" t="inlineStr">
        <is>
          <t>15</t>
        </is>
      </c>
      <c r="CM185" s="99" t="inlineStr">
        <is>
          <t>-1,65%</t>
        </is>
      </c>
      <c r="CN185" s="100" t="inlineStr">
        <is>
          <t>1</t>
        </is>
      </c>
      <c r="CO185" s="101" t="inlineStr">
        <is>
          <t>-4,20%</t>
        </is>
      </c>
      <c r="CP185" s="102" t="inlineStr">
        <is>
          <t>23</t>
        </is>
      </c>
      <c r="CQ185" s="103" t="inlineStr">
        <is>
          <t>0,51%</t>
        </is>
      </c>
      <c r="CR185" s="104" t="inlineStr">
        <is>
          <t>92</t>
        </is>
      </c>
      <c r="CS185" s="105" t="inlineStr">
        <is>
          <t>-3,33%</t>
        </is>
      </c>
      <c r="CT185" s="106" t="inlineStr">
        <is>
          <t>1</t>
        </is>
      </c>
      <c r="CU185" s="107" t="inlineStr">
        <is>
          <t>0,03%</t>
        </is>
      </c>
      <c r="CV185" s="108" t="inlineStr">
        <is>
          <t>56</t>
        </is>
      </c>
      <c r="CW185" s="109" t="inlineStr">
        <is>
          <t>53,30x</t>
        </is>
      </c>
      <c r="CX185" s="110" t="inlineStr">
        <is>
          <t>97</t>
        </is>
      </c>
      <c r="CY185" s="111" t="inlineStr">
        <is>
          <t>0,01x</t>
        </is>
      </c>
      <c r="CZ185" s="112" t="inlineStr">
        <is>
          <t>0,01%</t>
        </is>
      </c>
      <c r="DA185" s="113" t="inlineStr">
        <is>
          <t>95,97x</t>
        </is>
      </c>
      <c r="DB185" s="114" t="inlineStr">
        <is>
          <t>99</t>
        </is>
      </c>
      <c r="DC185" s="115" t="inlineStr">
        <is>
          <t>10,64x</t>
        </is>
      </c>
      <c r="DD185" s="116" t="inlineStr">
        <is>
          <t>85</t>
        </is>
      </c>
      <c r="DE185" s="117" t="inlineStr">
        <is>
          <t>170,24x</t>
        </is>
      </c>
      <c r="DF185" s="118" t="inlineStr">
        <is>
          <t>99</t>
        </is>
      </c>
      <c r="DG185" s="119" t="inlineStr">
        <is>
          <t>21,69x</t>
        </is>
      </c>
      <c r="DH185" s="120" t="inlineStr">
        <is>
          <t>94</t>
        </is>
      </c>
      <c r="DI185" s="121" t="inlineStr">
        <is>
          <t>18,21x</t>
        </is>
      </c>
      <c r="DJ185" s="122" t="inlineStr">
        <is>
          <t>86</t>
        </is>
      </c>
      <c r="DK185" s="123" t="inlineStr">
        <is>
          <t>3,07x</t>
        </is>
      </c>
      <c r="DL185" s="124" t="inlineStr">
        <is>
          <t>71</t>
        </is>
      </c>
      <c r="DM185" s="125" t="inlineStr">
        <is>
          <t>64.411</t>
        </is>
      </c>
      <c r="DN185" s="126" t="inlineStr">
        <is>
          <t>-3.758</t>
        </is>
      </c>
      <c r="DO185" s="127" t="inlineStr">
        <is>
          <t>-5,51%</t>
        </is>
      </c>
      <c r="DP185" s="128" t="inlineStr">
        <is>
          <t>14.382</t>
        </is>
      </c>
      <c r="DQ185" s="129" t="inlineStr">
        <is>
          <t>137</t>
        </is>
      </c>
      <c r="DR185" s="130" t="inlineStr">
        <is>
          <t>0,96%</t>
        </is>
      </c>
      <c r="DS185" s="131" t="inlineStr">
        <is>
          <t>780</t>
        </is>
      </c>
      <c r="DT185" s="132" t="inlineStr">
        <is>
          <t>3</t>
        </is>
      </c>
      <c r="DU185" s="133" t="inlineStr">
        <is>
          <t>0,39%</t>
        </is>
      </c>
      <c r="DV185" s="134" t="inlineStr">
        <is>
          <t>1.148</t>
        </is>
      </c>
      <c r="DW185" s="135" t="inlineStr">
        <is>
          <t>1</t>
        </is>
      </c>
      <c r="DX185" s="136" t="inlineStr">
        <is>
          <t>0,09%</t>
        </is>
      </c>
      <c r="DY185" s="137" t="inlineStr">
        <is>
          <t>PitchBook Research</t>
        </is>
      </c>
      <c r="DZ185" s="785">
        <f>HYPERLINK("https://my.pitchbook.com?c=65481-40", "View company online")</f>
      </c>
    </row>
    <row r="186">
      <c r="A186" s="139" t="inlineStr">
        <is>
          <t>58263-13</t>
        </is>
      </c>
      <c r="B186" s="140" t="inlineStr">
        <is>
          <t>Qikserve</t>
        </is>
      </c>
      <c r="C186" s="141" t="inlineStr">
        <is>
          <t/>
        </is>
      </c>
      <c r="D186" s="142" t="inlineStr">
        <is>
          <t/>
        </is>
      </c>
      <c r="E186" s="143" t="inlineStr">
        <is>
          <t>58263-13</t>
        </is>
      </c>
      <c r="F186" s="144" t="inlineStr">
        <is>
          <t>Developer of a food ordering and billing application. The company's platform lets diners order and pay for food and drinks from their smartphone.</t>
        </is>
      </c>
      <c r="G186" s="145" t="inlineStr">
        <is>
          <t>Consumer Products and Services (B2C)</t>
        </is>
      </c>
      <c r="H186" s="146" t="inlineStr">
        <is>
          <t>Restaurants, Hotels and Leisure</t>
        </is>
      </c>
      <c r="I186" s="147" t="inlineStr">
        <is>
          <t>Other Restaurants, Hotels and Leisure</t>
        </is>
      </c>
      <c r="J186" s="148" t="inlineStr">
        <is>
          <t>Other Restaurants, Hotels and Leisure*; Social/Platform Software</t>
        </is>
      </c>
      <c r="K186" s="149" t="inlineStr">
        <is>
          <t>E-Commerce, Mobile</t>
        </is>
      </c>
      <c r="L186" s="150" t="inlineStr">
        <is>
          <t>Venture Capital-Backed</t>
        </is>
      </c>
      <c r="M186" s="151" t="n">
        <v>5.81</v>
      </c>
      <c r="N186" s="152" t="inlineStr">
        <is>
          <t>Generating Revenue</t>
        </is>
      </c>
      <c r="O186" s="153" t="inlineStr">
        <is>
          <t>Privately Held (backing)</t>
        </is>
      </c>
      <c r="P186" s="154" t="inlineStr">
        <is>
          <t>Venture Capital</t>
        </is>
      </c>
      <c r="Q186" s="155" t="inlineStr">
        <is>
          <t>www.qikserve.com</t>
        </is>
      </c>
      <c r="R186" s="156" t="n">
        <v>15.0</v>
      </c>
      <c r="S186" s="157" t="inlineStr">
        <is>
          <t/>
        </is>
      </c>
      <c r="T186" s="158" t="inlineStr">
        <is>
          <t/>
        </is>
      </c>
      <c r="U186" s="159" t="n">
        <v>2011.0</v>
      </c>
      <c r="V186" s="160" t="inlineStr">
        <is>
          <t/>
        </is>
      </c>
      <c r="W186" s="161" t="inlineStr">
        <is>
          <t/>
        </is>
      </c>
      <c r="X186" s="162" t="inlineStr">
        <is>
          <t/>
        </is>
      </c>
      <c r="Y186" s="163" t="inlineStr">
        <is>
          <t/>
        </is>
      </c>
      <c r="Z186" s="164" t="inlineStr">
        <is>
          <t/>
        </is>
      </c>
      <c r="AA186" s="165" t="inlineStr">
        <is>
          <t/>
        </is>
      </c>
      <c r="AB186" s="166" t="inlineStr">
        <is>
          <t/>
        </is>
      </c>
      <c r="AC186" s="167" t="inlineStr">
        <is>
          <t/>
        </is>
      </c>
      <c r="AD186" s="168" t="inlineStr">
        <is>
          <t/>
        </is>
      </c>
      <c r="AE186" s="169" t="inlineStr">
        <is>
          <t>56191-69P</t>
        </is>
      </c>
      <c r="AF186" s="170" t="inlineStr">
        <is>
          <t>Ronald Forbes</t>
        </is>
      </c>
      <c r="AG186" s="171" t="inlineStr">
        <is>
          <t>Co-Founder</t>
        </is>
      </c>
      <c r="AH186" s="172" t="inlineStr">
        <is>
          <t>ronnie@qikserve.com</t>
        </is>
      </c>
      <c r="AI186" s="173" t="inlineStr">
        <is>
          <t>+44 (0)13 1290 2240</t>
        </is>
      </c>
      <c r="AJ186" s="174" t="inlineStr">
        <is>
          <t>Edinburgh, United Kingdom</t>
        </is>
      </c>
      <c r="AK186" s="175" t="inlineStr">
        <is>
          <t>Argyle House</t>
        </is>
      </c>
      <c r="AL186" s="176" t="inlineStr">
        <is>
          <t>3 Lady Lawson Street</t>
        </is>
      </c>
      <c r="AM186" s="177" t="inlineStr">
        <is>
          <t>Edinburgh</t>
        </is>
      </c>
      <c r="AN186" s="178" t="inlineStr">
        <is>
          <t>Scotland</t>
        </is>
      </c>
      <c r="AO186" s="179" t="inlineStr">
        <is>
          <t>EH3 9DR</t>
        </is>
      </c>
      <c r="AP186" s="180" t="inlineStr">
        <is>
          <t>United Kingdom</t>
        </is>
      </c>
      <c r="AQ186" s="181" t="inlineStr">
        <is>
          <t>+44 (0)13 1290 2240</t>
        </is>
      </c>
      <c r="AR186" s="182" t="inlineStr">
        <is>
          <t/>
        </is>
      </c>
      <c r="AS186" s="183" t="inlineStr">
        <is>
          <t>info@qikserve.com</t>
        </is>
      </c>
      <c r="AT186" s="184" t="inlineStr">
        <is>
          <t>Europe</t>
        </is>
      </c>
      <c r="AU186" s="185" t="inlineStr">
        <is>
          <t>Western Europe</t>
        </is>
      </c>
      <c r="AV186" s="186" t="inlineStr">
        <is>
          <t>The company raised GBP 2.7 million of venture funding from lead investor Maven Capital Partners on January 10, 2017, putting the pre-money valuation at GBP 6.26 million. Par Equity, Equity Gap and Scottish Enterprise also participated. The company will use the funding to further expand its business internationally.</t>
        </is>
      </c>
      <c r="AW186" s="187" t="inlineStr">
        <is>
          <t>CodeBase, Equity Gap, Maven Capital Partners, Par Equity, Scottish Enterprise</t>
        </is>
      </c>
      <c r="AX186" s="188" t="n">
        <v>5.0</v>
      </c>
      <c r="AY186" s="189" t="inlineStr">
        <is>
          <t/>
        </is>
      </c>
      <c r="AZ186" s="190" t="inlineStr">
        <is>
          <t/>
        </is>
      </c>
      <c r="BA186" s="191" t="inlineStr">
        <is>
          <t/>
        </is>
      </c>
      <c r="BB186" s="192" t="inlineStr">
        <is>
          <t>CodeBase (www.thisiscodebase.com), Equity Gap (www.equitygap.co.uk), Maven Capital Partners (www.mavencp.com), Par Equity (www.parequity.com), Scottish Enterprise (www.scottish-enterprise.com)</t>
        </is>
      </c>
      <c r="BC186" s="193" t="inlineStr">
        <is>
          <t/>
        </is>
      </c>
      <c r="BD186" s="194" t="inlineStr">
        <is>
          <t/>
        </is>
      </c>
      <c r="BE186" s="195" t="inlineStr">
        <is>
          <t>MBM Commercial (Legal Advisor)</t>
        </is>
      </c>
      <c r="BF186" s="196" t="inlineStr">
        <is>
          <t>MBM Commercial (Legal Advisor)</t>
        </is>
      </c>
      <c r="BG186" s="197" t="n">
        <v>40947.0</v>
      </c>
      <c r="BH186" s="198" t="n">
        <v>0.02</v>
      </c>
      <c r="BI186" s="199" t="inlineStr">
        <is>
          <t>Actual</t>
        </is>
      </c>
      <c r="BJ186" s="200" t="n">
        <v>0.03</v>
      </c>
      <c r="BK186" s="201" t="inlineStr">
        <is>
          <t>Actual</t>
        </is>
      </c>
      <c r="BL186" s="202" t="inlineStr">
        <is>
          <t>Angel (individual)</t>
        </is>
      </c>
      <c r="BM186" s="203" t="inlineStr">
        <is>
          <t>Angel</t>
        </is>
      </c>
      <c r="BN186" s="204" t="inlineStr">
        <is>
          <t/>
        </is>
      </c>
      <c r="BO186" s="205" t="inlineStr">
        <is>
          <t>Individual</t>
        </is>
      </c>
      <c r="BP186" s="206" t="inlineStr">
        <is>
          <t/>
        </is>
      </c>
      <c r="BQ186" s="207" t="inlineStr">
        <is>
          <t/>
        </is>
      </c>
      <c r="BR186" s="208" t="inlineStr">
        <is>
          <t/>
        </is>
      </c>
      <c r="BS186" s="209" t="inlineStr">
        <is>
          <t>Completed</t>
        </is>
      </c>
      <c r="BT186" s="210" t="n">
        <v>42745.0</v>
      </c>
      <c r="BU186" s="211" t="n">
        <v>3.14</v>
      </c>
      <c r="BV186" s="212" t="inlineStr">
        <is>
          <t>Actual</t>
        </is>
      </c>
      <c r="BW186" s="213" t="n">
        <v>10.4</v>
      </c>
      <c r="BX186" s="214" t="inlineStr">
        <is>
          <t>Actual</t>
        </is>
      </c>
      <c r="BY186" s="215" t="inlineStr">
        <is>
          <t>Later Stage VC</t>
        </is>
      </c>
      <c r="BZ186" s="216" t="inlineStr">
        <is>
          <t/>
        </is>
      </c>
      <c r="CA186" s="217" t="inlineStr">
        <is>
          <t/>
        </is>
      </c>
      <c r="CB186" s="218" t="inlineStr">
        <is>
          <t>Venture Capital</t>
        </is>
      </c>
      <c r="CC186" s="219" t="inlineStr">
        <is>
          <t/>
        </is>
      </c>
      <c r="CD186" s="220" t="inlineStr">
        <is>
          <t/>
        </is>
      </c>
      <c r="CE186" s="221" t="inlineStr">
        <is>
          <t/>
        </is>
      </c>
      <c r="CF186" s="222" t="inlineStr">
        <is>
          <t>Completed</t>
        </is>
      </c>
      <c r="CG186" s="223" t="inlineStr">
        <is>
          <t>-1,19%</t>
        </is>
      </c>
      <c r="CH186" s="224" t="inlineStr">
        <is>
          <t>13</t>
        </is>
      </c>
      <c r="CI186" s="225" t="inlineStr">
        <is>
          <t>-0,03%</t>
        </is>
      </c>
      <c r="CJ186" s="226" t="inlineStr">
        <is>
          <t>-2,67%</t>
        </is>
      </c>
      <c r="CK186" s="227" t="inlineStr">
        <is>
          <t>-2,45%</t>
        </is>
      </c>
      <c r="CL186" s="228" t="inlineStr">
        <is>
          <t>13</t>
        </is>
      </c>
      <c r="CM186" s="229" t="inlineStr">
        <is>
          <t>0,07%</t>
        </is>
      </c>
      <c r="CN186" s="230" t="inlineStr">
        <is>
          <t>53</t>
        </is>
      </c>
      <c r="CO186" s="231" t="inlineStr">
        <is>
          <t>-2,32%</t>
        </is>
      </c>
      <c r="CP186" s="232" t="inlineStr">
        <is>
          <t>29</t>
        </is>
      </c>
      <c r="CQ186" s="233" t="inlineStr">
        <is>
          <t>-2,58%</t>
        </is>
      </c>
      <c r="CR186" s="234" t="inlineStr">
        <is>
          <t>2</t>
        </is>
      </c>
      <c r="CS186" s="235" t="inlineStr">
        <is>
          <t>0,02%</t>
        </is>
      </c>
      <c r="CT186" s="236" t="inlineStr">
        <is>
          <t>43</t>
        </is>
      </c>
      <c r="CU186" s="237" t="inlineStr">
        <is>
          <t>0,13%</t>
        </is>
      </c>
      <c r="CV186" s="238" t="inlineStr">
        <is>
          <t>70</t>
        </is>
      </c>
      <c r="CW186" s="239" t="inlineStr">
        <is>
          <t>2,21x</t>
        </is>
      </c>
      <c r="CX186" s="240" t="inlineStr">
        <is>
          <t>67</t>
        </is>
      </c>
      <c r="CY186" s="241" t="inlineStr">
        <is>
          <t>-0,04x</t>
        </is>
      </c>
      <c r="CZ186" s="242" t="inlineStr">
        <is>
          <t>-1,69%</t>
        </is>
      </c>
      <c r="DA186" s="243" t="inlineStr">
        <is>
          <t>1,49x</t>
        </is>
      </c>
      <c r="DB186" s="244" t="inlineStr">
        <is>
          <t>60</t>
        </is>
      </c>
      <c r="DC186" s="245" t="inlineStr">
        <is>
          <t>2,92x</t>
        </is>
      </c>
      <c r="DD186" s="246" t="inlineStr">
        <is>
          <t>68</t>
        </is>
      </c>
      <c r="DE186" s="247" t="inlineStr">
        <is>
          <t>0,15x</t>
        </is>
      </c>
      <c r="DF186" s="248" t="inlineStr">
        <is>
          <t>7</t>
        </is>
      </c>
      <c r="DG186" s="249" t="inlineStr">
        <is>
          <t>2,83x</t>
        </is>
      </c>
      <c r="DH186" s="250" t="inlineStr">
        <is>
          <t>71</t>
        </is>
      </c>
      <c r="DI186" s="251" t="inlineStr">
        <is>
          <t>1,02x</t>
        </is>
      </c>
      <c r="DJ186" s="252" t="inlineStr">
        <is>
          <t>51</t>
        </is>
      </c>
      <c r="DK186" s="253" t="inlineStr">
        <is>
          <t>4,82x</t>
        </is>
      </c>
      <c r="DL186" s="254" t="inlineStr">
        <is>
          <t>78</t>
        </is>
      </c>
      <c r="DM186" s="255" t="inlineStr">
        <is>
          <t>63</t>
        </is>
      </c>
      <c r="DN186" s="256" t="inlineStr">
        <is>
          <t>-49</t>
        </is>
      </c>
      <c r="DO186" s="257" t="inlineStr">
        <is>
          <t>-43,75%</t>
        </is>
      </c>
      <c r="DP186" s="258" t="inlineStr">
        <is>
          <t>811</t>
        </is>
      </c>
      <c r="DQ186" s="259" t="inlineStr">
        <is>
          <t>2</t>
        </is>
      </c>
      <c r="DR186" s="260" t="inlineStr">
        <is>
          <t>0,25%</t>
        </is>
      </c>
      <c r="DS186" s="261" t="inlineStr">
        <is>
          <t>103</t>
        </is>
      </c>
      <c r="DT186" s="262" t="inlineStr">
        <is>
          <t>-3</t>
        </is>
      </c>
      <c r="DU186" s="263" t="inlineStr">
        <is>
          <t>-2,83%</t>
        </is>
      </c>
      <c r="DV186" s="264" t="inlineStr">
        <is>
          <t>1.805</t>
        </is>
      </c>
      <c r="DW186" s="265" t="inlineStr">
        <is>
          <t>4</t>
        </is>
      </c>
      <c r="DX186" s="266" t="inlineStr">
        <is>
          <t>0,22%</t>
        </is>
      </c>
      <c r="DY186" s="267" t="inlineStr">
        <is>
          <t>PitchBook Research</t>
        </is>
      </c>
      <c r="DZ186" s="786">
        <f>HYPERLINK("https://my.pitchbook.com?c=58263-13", "View company online")</f>
      </c>
    </row>
    <row r="187">
      <c r="A187" s="9" t="inlineStr">
        <is>
          <t>90364-69</t>
        </is>
      </c>
      <c r="B187" s="10" t="inlineStr">
        <is>
          <t>FitnessGenes</t>
        </is>
      </c>
      <c r="C187" s="11" t="inlineStr">
        <is>
          <t>MuscleGenes</t>
        </is>
      </c>
      <c r="D187" s="12" t="inlineStr">
        <is>
          <t/>
        </is>
      </c>
      <c r="E187" s="13" t="inlineStr">
        <is>
          <t>90364-69</t>
        </is>
      </c>
      <c r="F187" s="14" t="inlineStr">
        <is>
          <t>Provider of a DNA-testing platform designed to eliminate guesswork from fitness and nutrition. The company's DNA-testing platform offers an analysis of multiple gene variations, as well as interprets DNA, genetic traits and environmental data, enabling consumers to access personalized exercise and nutrition programs based on genetic profile and wellness goals.</t>
        </is>
      </c>
      <c r="G187" s="15" t="inlineStr">
        <is>
          <t>Healthcare</t>
        </is>
      </c>
      <c r="H187" s="16" t="inlineStr">
        <is>
          <t>Healthcare Services</t>
        </is>
      </c>
      <c r="I187" s="17" t="inlineStr">
        <is>
          <t>Other Healthcare Services</t>
        </is>
      </c>
      <c r="J187" s="18" t="inlineStr">
        <is>
          <t>Other Healthcare Services*; Other Services (B2C Non-Financial)</t>
        </is>
      </c>
      <c r="K187" s="19" t="inlineStr">
        <is>
          <t>LOHAS &amp; Wellness</t>
        </is>
      </c>
      <c r="L187" s="20" t="inlineStr">
        <is>
          <t>Venture Capital-Backed</t>
        </is>
      </c>
      <c r="M187" s="21" t="n">
        <v>5.74</v>
      </c>
      <c r="N187" s="22" t="inlineStr">
        <is>
          <t>Generating Revenue</t>
        </is>
      </c>
      <c r="O187" s="23" t="inlineStr">
        <is>
          <t>Privately Held (backing)</t>
        </is>
      </c>
      <c r="P187" s="24" t="inlineStr">
        <is>
          <t>Venture Capital</t>
        </is>
      </c>
      <c r="Q187" s="25" t="inlineStr">
        <is>
          <t>www.fitnessgenes.com</t>
        </is>
      </c>
      <c r="R187" s="26" t="n">
        <v>10.0</v>
      </c>
      <c r="S187" s="27" t="inlineStr">
        <is>
          <t/>
        </is>
      </c>
      <c r="T187" s="28" t="inlineStr">
        <is>
          <t/>
        </is>
      </c>
      <c r="U187" s="29" t="n">
        <v>2013.0</v>
      </c>
      <c r="V187" s="30" t="inlineStr">
        <is>
          <t/>
        </is>
      </c>
      <c r="W187" s="31" t="inlineStr">
        <is>
          <t/>
        </is>
      </c>
      <c r="X187" s="32" t="inlineStr">
        <is>
          <t/>
        </is>
      </c>
      <c r="Y187" s="33" t="inlineStr">
        <is>
          <t/>
        </is>
      </c>
      <c r="Z187" s="34" t="inlineStr">
        <is>
          <t/>
        </is>
      </c>
      <c r="AA187" s="35" t="inlineStr">
        <is>
          <t/>
        </is>
      </c>
      <c r="AB187" s="36" t="inlineStr">
        <is>
          <t/>
        </is>
      </c>
      <c r="AC187" s="37" t="inlineStr">
        <is>
          <t/>
        </is>
      </c>
      <c r="AD187" s="38" t="inlineStr">
        <is>
          <t/>
        </is>
      </c>
      <c r="AE187" s="39" t="inlineStr">
        <is>
          <t>102017-17P</t>
        </is>
      </c>
      <c r="AF187" s="40" t="inlineStr">
        <is>
          <t>Mark Gilbert</t>
        </is>
      </c>
      <c r="AG187" s="41" t="inlineStr">
        <is>
          <t>Co-Founder</t>
        </is>
      </c>
      <c r="AH187" s="42" t="inlineStr">
        <is>
          <t>mark@musclegenes.com</t>
        </is>
      </c>
      <c r="AI187" s="43" t="inlineStr">
        <is>
          <t/>
        </is>
      </c>
      <c r="AJ187" s="44" t="inlineStr">
        <is>
          <t>Bicester, United Kingdom</t>
        </is>
      </c>
      <c r="AK187" s="45" t="inlineStr">
        <is>
          <t>Bicester Innovation Centre, Commerce House</t>
        </is>
      </c>
      <c r="AL187" s="46" t="inlineStr">
        <is>
          <t>Telford Road, Oxfordshire</t>
        </is>
      </c>
      <c r="AM187" s="47" t="inlineStr">
        <is>
          <t>Bicester</t>
        </is>
      </c>
      <c r="AN187" s="48" t="inlineStr">
        <is>
          <t>England</t>
        </is>
      </c>
      <c r="AO187" s="49" t="inlineStr">
        <is>
          <t>OX26 4LD</t>
        </is>
      </c>
      <c r="AP187" s="50" t="inlineStr">
        <is>
          <t>United Kingdom</t>
        </is>
      </c>
      <c r="AQ187" s="51" t="inlineStr">
        <is>
          <t/>
        </is>
      </c>
      <c r="AR187" s="52" t="inlineStr">
        <is>
          <t/>
        </is>
      </c>
      <c r="AS187" s="53" t="inlineStr">
        <is>
          <t>info@fitnessgenes.com</t>
        </is>
      </c>
      <c r="AT187" s="54" t="inlineStr">
        <is>
          <t>Europe</t>
        </is>
      </c>
      <c r="AU187" s="55" t="inlineStr">
        <is>
          <t>Western Europe</t>
        </is>
      </c>
      <c r="AV187" s="56" t="inlineStr">
        <is>
          <t>The company is reportedly seeking $5 million of venture funding from undisclosed investors as of May 23, 2017. The company also raised $5 million million of Series A venture funding in a deal led by High-Tech Gründerfonds on July 4, 2017, putting the company's pre-money valuation at $28.05 million. The company intends to use the funds to invest in their technology that analyses genetic data to determine the best fitness and nutrition plans and expand their operations in Europe as well as North America, where it has a Los Angeles office. The company is being actively tracked by PitchBook.</t>
        </is>
      </c>
      <c r="AW187" s="57" t="inlineStr">
        <is>
          <t>Afaafa, High-Tech Gründerfonds, Innovate UK</t>
        </is>
      </c>
      <c r="AX187" s="58" t="n">
        <v>3.0</v>
      </c>
      <c r="AY187" s="59" t="inlineStr">
        <is>
          <t/>
        </is>
      </c>
      <c r="AZ187" s="60" t="inlineStr">
        <is>
          <t/>
        </is>
      </c>
      <c r="BA187" s="61" t="inlineStr">
        <is>
          <t/>
        </is>
      </c>
      <c r="BB187" s="62" t="inlineStr">
        <is>
          <t>High-Tech Gründerfonds (www.high-tech-gruenderfonds.de), Innovate UK (www.gov.uk)</t>
        </is>
      </c>
      <c r="BC187" s="63" t="inlineStr">
        <is>
          <t/>
        </is>
      </c>
      <c r="BD187" s="64" t="inlineStr">
        <is>
          <t/>
        </is>
      </c>
      <c r="BE187" s="65" t="inlineStr">
        <is>
          <t/>
        </is>
      </c>
      <c r="BF187" s="66" t="inlineStr">
        <is>
          <t>Angels Den (Lead Manager or Arranger)</t>
        </is>
      </c>
      <c r="BG187" s="67" t="n">
        <v>41842.0</v>
      </c>
      <c r="BH187" s="68" t="n">
        <v>0.37</v>
      </c>
      <c r="BI187" s="69" t="inlineStr">
        <is>
          <t>Actual</t>
        </is>
      </c>
      <c r="BJ187" s="70" t="inlineStr">
        <is>
          <t/>
        </is>
      </c>
      <c r="BK187" s="71" t="inlineStr">
        <is>
          <t/>
        </is>
      </c>
      <c r="BL187" s="72" t="inlineStr">
        <is>
          <t>Seed Round</t>
        </is>
      </c>
      <c r="BM187" s="73" t="inlineStr">
        <is>
          <t>Seed</t>
        </is>
      </c>
      <c r="BN187" s="74" t="inlineStr">
        <is>
          <t/>
        </is>
      </c>
      <c r="BO187" s="75" t="inlineStr">
        <is>
          <t>Individual</t>
        </is>
      </c>
      <c r="BP187" s="76" t="inlineStr">
        <is>
          <t/>
        </is>
      </c>
      <c r="BQ187" s="77" t="inlineStr">
        <is>
          <t/>
        </is>
      </c>
      <c r="BR187" s="78" t="inlineStr">
        <is>
          <t/>
        </is>
      </c>
      <c r="BS187" s="79" t="inlineStr">
        <is>
          <t>Completed</t>
        </is>
      </c>
      <c r="BT187" s="80" t="inlineStr">
        <is>
          <t/>
        </is>
      </c>
      <c r="BU187" s="81" t="n">
        <v>4.25</v>
      </c>
      <c r="BV187" s="82" t="inlineStr">
        <is>
          <t>Actual</t>
        </is>
      </c>
      <c r="BW187" s="83" t="inlineStr">
        <is>
          <t/>
        </is>
      </c>
      <c r="BX187" s="84" t="inlineStr">
        <is>
          <t/>
        </is>
      </c>
      <c r="BY187" s="85" t="inlineStr">
        <is>
          <t>Later Stage VC</t>
        </is>
      </c>
      <c r="BZ187" s="86" t="inlineStr">
        <is>
          <t/>
        </is>
      </c>
      <c r="CA187" s="87" t="inlineStr">
        <is>
          <t/>
        </is>
      </c>
      <c r="CB187" s="88" t="inlineStr">
        <is>
          <t>Venture Capital</t>
        </is>
      </c>
      <c r="CC187" s="89" t="inlineStr">
        <is>
          <t/>
        </is>
      </c>
      <c r="CD187" s="90" t="inlineStr">
        <is>
          <t/>
        </is>
      </c>
      <c r="CE187" s="91" t="inlineStr">
        <is>
          <t/>
        </is>
      </c>
      <c r="CF187" s="92" t="inlineStr">
        <is>
          <t>Upcoming</t>
        </is>
      </c>
      <c r="CG187" s="93" t="inlineStr">
        <is>
          <t>-2,23%</t>
        </is>
      </c>
      <c r="CH187" s="94" t="inlineStr">
        <is>
          <t>9</t>
        </is>
      </c>
      <c r="CI187" s="95" t="inlineStr">
        <is>
          <t>0,01%</t>
        </is>
      </c>
      <c r="CJ187" s="96" t="inlineStr">
        <is>
          <t>0,57%</t>
        </is>
      </c>
      <c r="CK187" s="97" t="inlineStr">
        <is>
          <t>-4,75%</t>
        </is>
      </c>
      <c r="CL187" s="98" t="inlineStr">
        <is>
          <t>8</t>
        </is>
      </c>
      <c r="CM187" s="99" t="inlineStr">
        <is>
          <t>0,30%</t>
        </is>
      </c>
      <c r="CN187" s="100" t="inlineStr">
        <is>
          <t>80</t>
        </is>
      </c>
      <c r="CO187" s="101" t="inlineStr">
        <is>
          <t>-9,50%</t>
        </is>
      </c>
      <c r="CP187" s="102" t="inlineStr">
        <is>
          <t>13</t>
        </is>
      </c>
      <c r="CQ187" s="103" t="inlineStr">
        <is>
          <t>0,00%</t>
        </is>
      </c>
      <c r="CR187" s="104" t="inlineStr">
        <is>
          <t>20</t>
        </is>
      </c>
      <c r="CS187" s="105" t="inlineStr">
        <is>
          <t>-0,04%</t>
        </is>
      </c>
      <c r="CT187" s="106" t="inlineStr">
        <is>
          <t>9</t>
        </is>
      </c>
      <c r="CU187" s="107" t="inlineStr">
        <is>
          <t>0,64%</t>
        </is>
      </c>
      <c r="CV187" s="108" t="inlineStr">
        <is>
          <t>93</t>
        </is>
      </c>
      <c r="CW187" s="109" t="inlineStr">
        <is>
          <t>70,75x</t>
        </is>
      </c>
      <c r="CX187" s="110" t="inlineStr">
        <is>
          <t>98</t>
        </is>
      </c>
      <c r="CY187" s="111" t="inlineStr">
        <is>
          <t>-0,52x</t>
        </is>
      </c>
      <c r="CZ187" s="112" t="inlineStr">
        <is>
          <t>-0,73%</t>
        </is>
      </c>
      <c r="DA187" s="113" t="inlineStr">
        <is>
          <t>8,93x</t>
        </is>
      </c>
      <c r="DB187" s="114" t="inlineStr">
        <is>
          <t>88</t>
        </is>
      </c>
      <c r="DC187" s="115" t="inlineStr">
        <is>
          <t>132,57x</t>
        </is>
      </c>
      <c r="DD187" s="116" t="inlineStr">
        <is>
          <t>97</t>
        </is>
      </c>
      <c r="DE187" s="117" t="inlineStr">
        <is>
          <t>16,91x</t>
        </is>
      </c>
      <c r="DF187" s="118" t="inlineStr">
        <is>
          <t>92</t>
        </is>
      </c>
      <c r="DG187" s="119" t="inlineStr">
        <is>
          <t>0,94x</t>
        </is>
      </c>
      <c r="DH187" s="120" t="inlineStr">
        <is>
          <t>49</t>
        </is>
      </c>
      <c r="DI187" s="121" t="inlineStr">
        <is>
          <t>253,11x</t>
        </is>
      </c>
      <c r="DJ187" s="122" t="inlineStr">
        <is>
          <t>98</t>
        </is>
      </c>
      <c r="DK187" s="123" t="inlineStr">
        <is>
          <t>12,03x</t>
        </is>
      </c>
      <c r="DL187" s="124" t="inlineStr">
        <is>
          <t>89</t>
        </is>
      </c>
      <c r="DM187" s="125" t="inlineStr">
        <is>
          <t>6.307</t>
        </is>
      </c>
      <c r="DN187" s="126" t="inlineStr">
        <is>
          <t>-179</t>
        </is>
      </c>
      <c r="DO187" s="127" t="inlineStr">
        <is>
          <t>-2,76%</t>
        </is>
      </c>
      <c r="DP187" s="128" t="inlineStr">
        <is>
          <t>200.501</t>
        </is>
      </c>
      <c r="DQ187" s="129" t="inlineStr">
        <is>
          <t>-90</t>
        </is>
      </c>
      <c r="DR187" s="130" t="inlineStr">
        <is>
          <t>-0,04%</t>
        </is>
      </c>
      <c r="DS187" s="131" t="inlineStr">
        <is>
          <t>34</t>
        </is>
      </c>
      <c r="DT187" s="132" t="inlineStr">
        <is>
          <t>1</t>
        </is>
      </c>
      <c r="DU187" s="133" t="inlineStr">
        <is>
          <t>3,03%</t>
        </is>
      </c>
      <c r="DV187" s="134" t="inlineStr">
        <is>
          <t>4.484</t>
        </is>
      </c>
      <c r="DW187" s="135" t="inlineStr">
        <is>
          <t>35</t>
        </is>
      </c>
      <c r="DX187" s="136" t="inlineStr">
        <is>
          <t>0,79%</t>
        </is>
      </c>
      <c r="DY187" s="137" t="inlineStr">
        <is>
          <t>PitchBook Research</t>
        </is>
      </c>
      <c r="DZ187" s="785">
        <f>HYPERLINK("https://my.pitchbook.com?c=90364-69", "View company online")</f>
      </c>
    </row>
    <row r="188">
      <c r="A188" s="139" t="inlineStr">
        <is>
          <t>178379-83</t>
        </is>
      </c>
      <c r="B188" s="140" t="inlineStr">
        <is>
          <t>HiLight Semiconductor</t>
        </is>
      </c>
      <c r="C188" s="141" t="inlineStr">
        <is>
          <t/>
        </is>
      </c>
      <c r="D188" s="142" t="inlineStr">
        <is>
          <t>HiLight</t>
        </is>
      </c>
      <c r="E188" s="143" t="inlineStr">
        <is>
          <t>178379-83</t>
        </is>
      </c>
      <c r="F188" s="144" t="inlineStr">
        <is>
          <t>Manufacturer of high-performance physical layer integrated circuits designed to provide deep sub-micron CMOS design for high-speed optical networking applications. The company's physical layer integrated circuits offers coding and encoding of data that is transmitted and received by optical components parts that are traditionally built using analogue and mixed-signal integrated circuits.</t>
        </is>
      </c>
      <c r="G188" s="145" t="inlineStr">
        <is>
          <t>Information Technology</t>
        </is>
      </c>
      <c r="H188" s="146" t="inlineStr">
        <is>
          <t>Semiconductors</t>
        </is>
      </c>
      <c r="I188" s="147" t="inlineStr">
        <is>
          <t>Application Specific Semiconductors</t>
        </is>
      </c>
      <c r="J188" s="148" t="inlineStr">
        <is>
          <t>Application Specific Semiconductors*; Other Semiconductors</t>
        </is>
      </c>
      <c r="K188" s="149" t="inlineStr">
        <is>
          <t>Manufacturing</t>
        </is>
      </c>
      <c r="L188" s="150" t="inlineStr">
        <is>
          <t>Venture Capital-Backed</t>
        </is>
      </c>
      <c r="M188" s="151" t="n">
        <v>5.71</v>
      </c>
      <c r="N188" s="152" t="inlineStr">
        <is>
          <t>Generating Revenue</t>
        </is>
      </c>
      <c r="O188" s="153" t="inlineStr">
        <is>
          <t>Privately Held (backing)</t>
        </is>
      </c>
      <c r="P188" s="154" t="inlineStr">
        <is>
          <t>Venture Capital</t>
        </is>
      </c>
      <c r="Q188" s="155" t="inlineStr">
        <is>
          <t>www.hilight-semi.com</t>
        </is>
      </c>
      <c r="R188" s="156" t="inlineStr">
        <is>
          <t/>
        </is>
      </c>
      <c r="S188" s="157" t="inlineStr">
        <is>
          <t/>
        </is>
      </c>
      <c r="T188" s="158" t="inlineStr">
        <is>
          <t/>
        </is>
      </c>
      <c r="U188" s="159" t="inlineStr">
        <is>
          <t/>
        </is>
      </c>
      <c r="V188" s="160" t="inlineStr">
        <is>
          <t/>
        </is>
      </c>
      <c r="W188" s="161" t="inlineStr">
        <is>
          <t/>
        </is>
      </c>
      <c r="X188" s="162" t="inlineStr">
        <is>
          <t/>
        </is>
      </c>
      <c r="Y188" s="163" t="inlineStr">
        <is>
          <t/>
        </is>
      </c>
      <c r="Z188" s="164" t="inlineStr">
        <is>
          <t/>
        </is>
      </c>
      <c r="AA188" s="165" t="inlineStr">
        <is>
          <t/>
        </is>
      </c>
      <c r="AB188" s="166" t="inlineStr">
        <is>
          <t/>
        </is>
      </c>
      <c r="AC188" s="167" t="inlineStr">
        <is>
          <t/>
        </is>
      </c>
      <c r="AD188" s="168" t="inlineStr">
        <is>
          <t/>
        </is>
      </c>
      <c r="AE188" s="169" t="inlineStr">
        <is>
          <t>130881-88P</t>
        </is>
      </c>
      <c r="AF188" s="170" t="inlineStr">
        <is>
          <t>Gary Steele</t>
        </is>
      </c>
      <c r="AG188" s="171" t="inlineStr">
        <is>
          <t>Executive Chairman</t>
        </is>
      </c>
      <c r="AH188" s="172" t="inlineStr">
        <is>
          <t/>
        </is>
      </c>
      <c r="AI188" s="173" t="inlineStr">
        <is>
          <t>+44 (0)23 8097 0330</t>
        </is>
      </c>
      <c r="AJ188" s="174" t="inlineStr">
        <is>
          <t>Southampton, United Kingdom</t>
        </is>
      </c>
      <c r="AK188" s="175" t="inlineStr">
        <is>
          <t>Delta House, Enterprise Road</t>
        </is>
      </c>
      <c r="AL188" s="176" t="inlineStr">
        <is>
          <t>Southampton University Science Park, Hampshire</t>
        </is>
      </c>
      <c r="AM188" s="177" t="inlineStr">
        <is>
          <t>Southampton</t>
        </is>
      </c>
      <c r="AN188" s="178" t="inlineStr">
        <is>
          <t>England</t>
        </is>
      </c>
      <c r="AO188" s="179" t="inlineStr">
        <is>
          <t>SO16 7NS</t>
        </is>
      </c>
      <c r="AP188" s="180" t="inlineStr">
        <is>
          <t>United Kingdom</t>
        </is>
      </c>
      <c r="AQ188" s="181" t="inlineStr">
        <is>
          <t>+44 (0)23 8097 0330</t>
        </is>
      </c>
      <c r="AR188" s="182" t="inlineStr">
        <is>
          <t/>
        </is>
      </c>
      <c r="AS188" s="183" t="inlineStr">
        <is>
          <t/>
        </is>
      </c>
      <c r="AT188" s="184" t="inlineStr">
        <is>
          <t>Europe</t>
        </is>
      </c>
      <c r="AU188" s="185" t="inlineStr">
        <is>
          <t>Western Europe</t>
        </is>
      </c>
      <c r="AV188" s="186" t="inlineStr">
        <is>
          <t>The company raised $6.1 million of Series B venture funding led by Atlantic Bridge Capital on March 14, 2017. Oyster Capital, Gary Steele, Harbert Management and other undisclosed investors also participated in the round. The funds will be used to expand its integrated circuit design, support and evaluation teams, its laboratory facilities in Southampton, and create a new laboratory alongside its design offices in Bristol.</t>
        </is>
      </c>
      <c r="AW188" s="187" t="inlineStr">
        <is>
          <t>Atlantic Bridge Capital, Harbert Management, Horizon 2020, Innovate UK, Oyster Capital Partners</t>
        </is>
      </c>
      <c r="AX188" s="188" t="n">
        <v>5.0</v>
      </c>
      <c r="AY188" s="189" t="inlineStr">
        <is>
          <t/>
        </is>
      </c>
      <c r="AZ188" s="190" t="inlineStr">
        <is>
          <t/>
        </is>
      </c>
      <c r="BA188" s="191" t="inlineStr">
        <is>
          <t/>
        </is>
      </c>
      <c r="BB188" s="192" t="inlineStr">
        <is>
          <t>Atlantic Bridge Capital (www.abven.com), Harbert Management (www.harbert.net), Innovate UK (www.gov.uk), Oyster Capital Partners (www.oystercapital.co.nz)</t>
        </is>
      </c>
      <c r="BC188" s="193" t="inlineStr">
        <is>
          <t/>
        </is>
      </c>
      <c r="BD188" s="194" t="inlineStr">
        <is>
          <t/>
        </is>
      </c>
      <c r="BE188" s="195" t="inlineStr">
        <is>
          <t/>
        </is>
      </c>
      <c r="BF188" s="196" t="inlineStr">
        <is>
          <t/>
        </is>
      </c>
      <c r="BG188" s="197" t="n">
        <v>40931.0</v>
      </c>
      <c r="BH188" s="198" t="inlineStr">
        <is>
          <t/>
        </is>
      </c>
      <c r="BI188" s="199" t="inlineStr">
        <is>
          <t/>
        </is>
      </c>
      <c r="BJ188" s="200" t="inlineStr">
        <is>
          <t/>
        </is>
      </c>
      <c r="BK188" s="201" t="inlineStr">
        <is>
          <t/>
        </is>
      </c>
      <c r="BL188" s="202" t="inlineStr">
        <is>
          <t>Seed Round</t>
        </is>
      </c>
      <c r="BM188" s="203" t="inlineStr">
        <is>
          <t>Seed</t>
        </is>
      </c>
      <c r="BN188" s="204" t="inlineStr">
        <is>
          <t/>
        </is>
      </c>
      <c r="BO188" s="205" t="inlineStr">
        <is>
          <t>Venture Capital</t>
        </is>
      </c>
      <c r="BP188" s="206" t="inlineStr">
        <is>
          <t/>
        </is>
      </c>
      <c r="BQ188" s="207" t="inlineStr">
        <is>
          <t/>
        </is>
      </c>
      <c r="BR188" s="208" t="inlineStr">
        <is>
          <t/>
        </is>
      </c>
      <c r="BS188" s="209" t="inlineStr">
        <is>
          <t>Completed</t>
        </is>
      </c>
      <c r="BT188" s="210" t="n">
        <v>42808.0</v>
      </c>
      <c r="BU188" s="211" t="n">
        <v>5.71</v>
      </c>
      <c r="BV188" s="212" t="inlineStr">
        <is>
          <t>Actual</t>
        </is>
      </c>
      <c r="BW188" s="213" t="inlineStr">
        <is>
          <t/>
        </is>
      </c>
      <c r="BX188" s="214" t="inlineStr">
        <is>
          <t/>
        </is>
      </c>
      <c r="BY188" s="215" t="inlineStr">
        <is>
          <t>Later Stage VC</t>
        </is>
      </c>
      <c r="BZ188" s="216" t="inlineStr">
        <is>
          <t>Series B</t>
        </is>
      </c>
      <c r="CA188" s="217" t="inlineStr">
        <is>
          <t/>
        </is>
      </c>
      <c r="CB188" s="218" t="inlineStr">
        <is>
          <t>Venture Capital</t>
        </is>
      </c>
      <c r="CC188" s="219" t="inlineStr">
        <is>
          <t/>
        </is>
      </c>
      <c r="CD188" s="220" t="inlineStr">
        <is>
          <t/>
        </is>
      </c>
      <c r="CE188" s="221" t="inlineStr">
        <is>
          <t/>
        </is>
      </c>
      <c r="CF188" s="222" t="inlineStr">
        <is>
          <t>Completed</t>
        </is>
      </c>
      <c r="CG188" s="223" t="inlineStr">
        <is>
          <t>0,00%</t>
        </is>
      </c>
      <c r="CH188" s="224" t="inlineStr">
        <is>
          <t>33</t>
        </is>
      </c>
      <c r="CI188" s="225" t="inlineStr">
        <is>
          <t>0,00%</t>
        </is>
      </c>
      <c r="CJ188" s="226" t="inlineStr">
        <is>
          <t>0,00%</t>
        </is>
      </c>
      <c r="CK188" s="227" t="inlineStr">
        <is>
          <t>0,00%</t>
        </is>
      </c>
      <c r="CL188" s="228" t="inlineStr">
        <is>
          <t>28</t>
        </is>
      </c>
      <c r="CM188" s="229" t="inlineStr">
        <is>
          <t/>
        </is>
      </c>
      <c r="CN188" s="230" t="inlineStr">
        <is>
          <t/>
        </is>
      </c>
      <c r="CO188" s="231" t="inlineStr">
        <is>
          <t/>
        </is>
      </c>
      <c r="CP188" s="232" t="inlineStr">
        <is>
          <t/>
        </is>
      </c>
      <c r="CQ188" s="233" t="inlineStr">
        <is>
          <t>0,00%</t>
        </is>
      </c>
      <c r="CR188" s="234" t="inlineStr">
        <is>
          <t>20</t>
        </is>
      </c>
      <c r="CS188" s="235" t="inlineStr">
        <is>
          <t/>
        </is>
      </c>
      <c r="CT188" s="236" t="inlineStr">
        <is>
          <t/>
        </is>
      </c>
      <c r="CU188" s="237" t="inlineStr">
        <is>
          <t/>
        </is>
      </c>
      <c r="CV188" s="238" t="inlineStr">
        <is>
          <t/>
        </is>
      </c>
      <c r="CW188" s="239" t="inlineStr">
        <is>
          <t>0,14x</t>
        </is>
      </c>
      <c r="CX188" s="240" t="inlineStr">
        <is>
          <t>11</t>
        </is>
      </c>
      <c r="CY188" s="241" t="inlineStr">
        <is>
          <t>0,00x</t>
        </is>
      </c>
      <c r="CZ188" s="242" t="inlineStr">
        <is>
          <t>0,00%</t>
        </is>
      </c>
      <c r="DA188" s="243" t="inlineStr">
        <is>
          <t>0,14x</t>
        </is>
      </c>
      <c r="DB188" s="244" t="inlineStr">
        <is>
          <t>12</t>
        </is>
      </c>
      <c r="DC188" s="245" t="inlineStr">
        <is>
          <t/>
        </is>
      </c>
      <c r="DD188" s="246" t="inlineStr">
        <is>
          <t/>
        </is>
      </c>
      <c r="DE188" s="247" t="inlineStr">
        <is>
          <t/>
        </is>
      </c>
      <c r="DF188" s="248" t="inlineStr">
        <is>
          <t/>
        </is>
      </c>
      <c r="DG188" s="249" t="inlineStr">
        <is>
          <t>0,14x</t>
        </is>
      </c>
      <c r="DH188" s="250" t="inlineStr">
        <is>
          <t>14</t>
        </is>
      </c>
      <c r="DI188" s="251" t="inlineStr">
        <is>
          <t/>
        </is>
      </c>
      <c r="DJ188" s="252" t="inlineStr">
        <is>
          <t/>
        </is>
      </c>
      <c r="DK188" s="253" t="inlineStr">
        <is>
          <t/>
        </is>
      </c>
      <c r="DL188" s="254" t="inlineStr">
        <is>
          <t/>
        </is>
      </c>
      <c r="DM188" s="255" t="inlineStr">
        <is>
          <t/>
        </is>
      </c>
      <c r="DN188" s="256" t="inlineStr">
        <is>
          <t/>
        </is>
      </c>
      <c r="DO188" s="257" t="inlineStr">
        <is>
          <t/>
        </is>
      </c>
      <c r="DP188" s="258" t="inlineStr">
        <is>
          <t/>
        </is>
      </c>
      <c r="DQ188" s="259" t="inlineStr">
        <is>
          <t/>
        </is>
      </c>
      <c r="DR188" s="260" t="inlineStr">
        <is>
          <t/>
        </is>
      </c>
      <c r="DS188" s="261" t="inlineStr">
        <is>
          <t>5</t>
        </is>
      </c>
      <c r="DT188" s="262" t="inlineStr">
        <is>
          <t>0</t>
        </is>
      </c>
      <c r="DU188" s="263" t="inlineStr">
        <is>
          <t>0,00%</t>
        </is>
      </c>
      <c r="DV188" s="264" t="inlineStr">
        <is>
          <t/>
        </is>
      </c>
      <c r="DW188" s="265" t="inlineStr">
        <is>
          <t/>
        </is>
      </c>
      <c r="DX188" s="266" t="inlineStr">
        <is>
          <t/>
        </is>
      </c>
      <c r="DY188" s="267" t="inlineStr">
        <is>
          <t>PitchBook Research</t>
        </is>
      </c>
      <c r="DZ188" s="786">
        <f>HYPERLINK("https://my.pitchbook.com?c=178379-83", "View company online")</f>
      </c>
    </row>
    <row r="189">
      <c r="A189" s="9" t="inlineStr">
        <is>
          <t>88659-37</t>
        </is>
      </c>
      <c r="B189" s="10" t="inlineStr">
        <is>
          <t>Qumram</t>
        </is>
      </c>
      <c r="C189" s="11" t="inlineStr">
        <is>
          <t/>
        </is>
      </c>
      <c r="D189" s="12" t="inlineStr">
        <is>
          <t/>
        </is>
      </c>
      <c r="E189" s="13" t="inlineStr">
        <is>
          <t>88659-37</t>
        </is>
      </c>
      <c r="F189" s="14" t="inlineStr">
        <is>
          <t>Developer of cross-channel intelligence and compliance software designed to make financial services more transparent and compliant. The company's platform allows all digital activity and interactions (web, social, mobile) to be recorded and replayed, in movie-like form, providing a transparent digital audit trail for financial services organizations, enabling global banks, investment and wealth management firms, insurance companies and other financial institutions to comply with regulatory requirements for digital record-keeping, resolve disputes, aid fraud detection, expose employee governance issues, prove compliance, mitigate conduct risk and improve customer experience.</t>
        </is>
      </c>
      <c r="G189" s="15" t="inlineStr">
        <is>
          <t>Information Technology</t>
        </is>
      </c>
      <c r="H189" s="16" t="inlineStr">
        <is>
          <t>Software</t>
        </is>
      </c>
      <c r="I189" s="17" t="inlineStr">
        <is>
          <t>Communication Software</t>
        </is>
      </c>
      <c r="J189" s="18" t="inlineStr">
        <is>
          <t>Communication Software*; Business/Productivity Software</t>
        </is>
      </c>
      <c r="K189" s="19" t="inlineStr">
        <is>
          <t>Big Data</t>
        </is>
      </c>
      <c r="L189" s="20" t="inlineStr">
        <is>
          <t>Private Equity-Backed</t>
        </is>
      </c>
      <c r="M189" s="21" t="n">
        <v>5.7</v>
      </c>
      <c r="N189" s="22" t="inlineStr">
        <is>
          <t>Generating Revenue</t>
        </is>
      </c>
      <c r="O189" s="23" t="inlineStr">
        <is>
          <t>Acquired/Merged</t>
        </is>
      </c>
      <c r="P189" s="24" t="inlineStr">
        <is>
          <t>Venture Capital, Private Equity</t>
        </is>
      </c>
      <c r="Q189" s="25" t="inlineStr">
        <is>
          <t>www.qumram.com</t>
        </is>
      </c>
      <c r="R189" s="26" t="n">
        <v>32.0</v>
      </c>
      <c r="S189" s="27" t="inlineStr">
        <is>
          <t/>
        </is>
      </c>
      <c r="T189" s="28" t="inlineStr">
        <is>
          <t/>
        </is>
      </c>
      <c r="U189" s="29" t="n">
        <v>2011.0</v>
      </c>
      <c r="V189" s="30" t="inlineStr">
        <is>
          <t/>
        </is>
      </c>
      <c r="W189" s="31" t="inlineStr">
        <is>
          <t/>
        </is>
      </c>
      <c r="X189" s="32" t="inlineStr">
        <is>
          <t/>
        </is>
      </c>
      <c r="Y189" s="33" t="n">
        <v>0.95548</v>
      </c>
      <c r="Z189" s="34" t="inlineStr">
        <is>
          <t/>
        </is>
      </c>
      <c r="AA189" s="35" t="inlineStr">
        <is>
          <t/>
        </is>
      </c>
      <c r="AB189" s="36" t="inlineStr">
        <is>
          <t/>
        </is>
      </c>
      <c r="AC189" s="37" t="inlineStr">
        <is>
          <t/>
        </is>
      </c>
      <c r="AD189" s="38" t="inlineStr">
        <is>
          <t>FY 2015</t>
        </is>
      </c>
      <c r="AE189" s="39" t="inlineStr">
        <is>
          <t>109897-75P</t>
        </is>
      </c>
      <c r="AF189" s="40" t="inlineStr">
        <is>
          <t>Simone Junod</t>
        </is>
      </c>
      <c r="AG189" s="41" t="inlineStr">
        <is>
          <t>Chief Financial Officer &amp; Executive, Investor Relations</t>
        </is>
      </c>
      <c r="AH189" s="42" t="inlineStr">
        <is>
          <t>junod@qumram.com</t>
        </is>
      </c>
      <c r="AI189" s="43" t="inlineStr">
        <is>
          <t>+41 (0)44 300 2020</t>
        </is>
      </c>
      <c r="AJ189" s="44" t="inlineStr">
        <is>
          <t>Zurich, Switzerland</t>
        </is>
      </c>
      <c r="AK189" s="45" t="inlineStr">
        <is>
          <t>Badenerstrasse 587</t>
        </is>
      </c>
      <c r="AL189" s="46" t="inlineStr">
        <is>
          <t/>
        </is>
      </c>
      <c r="AM189" s="47" t="inlineStr">
        <is>
          <t>Zurich</t>
        </is>
      </c>
      <c r="AN189" s="48" t="inlineStr">
        <is>
          <t/>
        </is>
      </c>
      <c r="AO189" s="49" t="inlineStr">
        <is>
          <t>8048</t>
        </is>
      </c>
      <c r="AP189" s="50" t="inlineStr">
        <is>
          <t>Switzerland</t>
        </is>
      </c>
      <c r="AQ189" s="51" t="inlineStr">
        <is>
          <t>+41 (0)44 300 2020</t>
        </is>
      </c>
      <c r="AR189" s="52" t="inlineStr">
        <is>
          <t/>
        </is>
      </c>
      <c r="AS189" s="53" t="inlineStr">
        <is>
          <t>info@qumram.com</t>
        </is>
      </c>
      <c r="AT189" s="54" t="inlineStr">
        <is>
          <t>Europe</t>
        </is>
      </c>
      <c r="AU189" s="55" t="inlineStr">
        <is>
          <t>Western Europe</t>
        </is>
      </c>
      <c r="AV189" s="56" t="inlineStr">
        <is>
          <t>The company was acquired by Dynatrace, via its financial sponsor Thoma Bravo, through an LBO on November 9, 2017 for an undisclosed amount. With this deal, Dynatrace will further expand its digital experience capabilities by providing the ability to visually replay a user session, within its existing platform. The company is no longer actively tracked by PitchBook.</t>
        </is>
      </c>
      <c r="AW189" s="57" t="inlineStr">
        <is>
          <t>Swiss Finance Startups, Swisscom, VentureLab</t>
        </is>
      </c>
      <c r="AX189" s="58" t="n">
        <v>3.0</v>
      </c>
      <c r="AY189" s="59" t="inlineStr">
        <is>
          <t>Dynatrace</t>
        </is>
      </c>
      <c r="AZ189" s="60" t="inlineStr">
        <is>
          <t>3w Ventures, Alma Mundi Ventures, Ariel Lüdi, Investiere, Peter Stalder, Plug and Play Tech Center, Zirkonia</t>
        </is>
      </c>
      <c r="BA189" s="61" t="inlineStr">
        <is>
          <t>Thoma Bravo</t>
        </is>
      </c>
      <c r="BB189" s="62" t="inlineStr">
        <is>
          <t>Swiss Finance Startups (www.swissfinancestartups.com), Swisscom (www.swisscom.ch), VentureLab (www.venturelab.ch)</t>
        </is>
      </c>
      <c r="BC189" s="63" t="inlineStr">
        <is>
          <t>3w Ventures (www.3wventures.com), Alma Mundi Ventures (www.mundiventures.com), Investiere (www.investiere.ch), Plug and Play Tech Center (www.plugandplaytechcenter.com)</t>
        </is>
      </c>
      <c r="BD189" s="64" t="inlineStr">
        <is>
          <t>Thoma Bravo (www.thomabravo.com)</t>
        </is>
      </c>
      <c r="BE189" s="65" t="inlineStr">
        <is>
          <t/>
        </is>
      </c>
      <c r="BF189" s="66" t="inlineStr">
        <is>
          <t/>
        </is>
      </c>
      <c r="BG189" s="67" t="n">
        <v>42095.0</v>
      </c>
      <c r="BH189" s="68" t="n">
        <v>0.48</v>
      </c>
      <c r="BI189" s="69" t="inlineStr">
        <is>
          <t>Actual</t>
        </is>
      </c>
      <c r="BJ189" s="70" t="inlineStr">
        <is>
          <t/>
        </is>
      </c>
      <c r="BK189" s="71" t="inlineStr">
        <is>
          <t/>
        </is>
      </c>
      <c r="BL189" s="72" t="inlineStr">
        <is>
          <t>Capitalization</t>
        </is>
      </c>
      <c r="BM189" s="73" t="inlineStr">
        <is>
          <t/>
        </is>
      </c>
      <c r="BN189" s="74" t="inlineStr">
        <is>
          <t/>
        </is>
      </c>
      <c r="BO189" s="75" t="inlineStr">
        <is>
          <t>Individual</t>
        </is>
      </c>
      <c r="BP189" s="76" t="inlineStr">
        <is>
          <t/>
        </is>
      </c>
      <c r="BQ189" s="77" t="inlineStr">
        <is>
          <t/>
        </is>
      </c>
      <c r="BR189" s="78" t="inlineStr">
        <is>
          <t/>
        </is>
      </c>
      <c r="BS189" s="79" t="inlineStr">
        <is>
          <t>Completed</t>
        </is>
      </c>
      <c r="BT189" s="80" t="n">
        <v>43048.0</v>
      </c>
      <c r="BU189" s="81" t="inlineStr">
        <is>
          <t/>
        </is>
      </c>
      <c r="BV189" s="82" t="inlineStr">
        <is>
          <t/>
        </is>
      </c>
      <c r="BW189" s="83" t="inlineStr">
        <is>
          <t/>
        </is>
      </c>
      <c r="BX189" s="84" t="inlineStr">
        <is>
          <t/>
        </is>
      </c>
      <c r="BY189" s="85" t="inlineStr">
        <is>
          <t>Buyout/LBO</t>
        </is>
      </c>
      <c r="BZ189" s="86" t="inlineStr">
        <is>
          <t>Add-on</t>
        </is>
      </c>
      <c r="CA189" s="87" t="inlineStr">
        <is>
          <t/>
        </is>
      </c>
      <c r="CB189" s="88" t="inlineStr">
        <is>
          <t>Private Equity</t>
        </is>
      </c>
      <c r="CC189" s="89" t="inlineStr">
        <is>
          <t/>
        </is>
      </c>
      <c r="CD189" s="90" t="inlineStr">
        <is>
          <t/>
        </is>
      </c>
      <c r="CE189" s="91" t="inlineStr">
        <is>
          <t/>
        </is>
      </c>
      <c r="CF189" s="92" t="inlineStr">
        <is>
          <t>Completed</t>
        </is>
      </c>
      <c r="CG189" s="93" t="inlineStr">
        <is>
          <t/>
        </is>
      </c>
      <c r="CH189" s="94" t="inlineStr">
        <is>
          <t/>
        </is>
      </c>
      <c r="CI189" s="95" t="inlineStr">
        <is>
          <t/>
        </is>
      </c>
      <c r="CJ189" s="96" t="inlineStr">
        <is>
          <t/>
        </is>
      </c>
      <c r="CK189" s="97" t="inlineStr">
        <is>
          <t/>
        </is>
      </c>
      <c r="CL189" s="98" t="inlineStr">
        <is>
          <t/>
        </is>
      </c>
      <c r="CM189" s="99" t="inlineStr">
        <is>
          <t/>
        </is>
      </c>
      <c r="CN189" s="100" t="inlineStr">
        <is>
          <t/>
        </is>
      </c>
      <c r="CO189" s="101" t="inlineStr">
        <is>
          <t/>
        </is>
      </c>
      <c r="CP189" s="102" t="inlineStr">
        <is>
          <t/>
        </is>
      </c>
      <c r="CQ189" s="103" t="inlineStr">
        <is>
          <t/>
        </is>
      </c>
      <c r="CR189" s="104" t="inlineStr">
        <is>
          <t/>
        </is>
      </c>
      <c r="CS189" s="105" t="inlineStr">
        <is>
          <t/>
        </is>
      </c>
      <c r="CT189" s="106" t="inlineStr">
        <is>
          <t/>
        </is>
      </c>
      <c r="CU189" s="107" t="inlineStr">
        <is>
          <t/>
        </is>
      </c>
      <c r="CV189" s="108" t="inlineStr">
        <is>
          <t/>
        </is>
      </c>
      <c r="CW189" s="109" t="inlineStr">
        <is>
          <t/>
        </is>
      </c>
      <c r="CX189" s="110" t="inlineStr">
        <is>
          <t/>
        </is>
      </c>
      <c r="CY189" s="111" t="inlineStr">
        <is>
          <t/>
        </is>
      </c>
      <c r="CZ189" s="112" t="inlineStr">
        <is>
          <t/>
        </is>
      </c>
      <c r="DA189" s="113" t="inlineStr">
        <is>
          <t/>
        </is>
      </c>
      <c r="DB189" s="114" t="inlineStr">
        <is>
          <t/>
        </is>
      </c>
      <c r="DC189" s="115" t="inlineStr">
        <is>
          <t/>
        </is>
      </c>
      <c r="DD189" s="116" t="inlineStr">
        <is>
          <t/>
        </is>
      </c>
      <c r="DE189" s="117" t="inlineStr">
        <is>
          <t/>
        </is>
      </c>
      <c r="DF189" s="118" t="inlineStr">
        <is>
          <t/>
        </is>
      </c>
      <c r="DG189" s="119" t="inlineStr">
        <is>
          <t/>
        </is>
      </c>
      <c r="DH189" s="120" t="inlineStr">
        <is>
          <t/>
        </is>
      </c>
      <c r="DI189" s="121" t="inlineStr">
        <is>
          <t/>
        </is>
      </c>
      <c r="DJ189" s="122" t="inlineStr">
        <is>
          <t/>
        </is>
      </c>
      <c r="DK189" s="123" t="inlineStr">
        <is>
          <t/>
        </is>
      </c>
      <c r="DL189" s="124" t="inlineStr">
        <is>
          <t/>
        </is>
      </c>
      <c r="DM189" s="125" t="inlineStr">
        <is>
          <t/>
        </is>
      </c>
      <c r="DN189" s="126" t="inlineStr">
        <is>
          <t/>
        </is>
      </c>
      <c r="DO189" s="127" t="inlineStr">
        <is>
          <t/>
        </is>
      </c>
      <c r="DP189" s="128" t="inlineStr">
        <is>
          <t/>
        </is>
      </c>
      <c r="DQ189" s="129" t="inlineStr">
        <is>
          <t/>
        </is>
      </c>
      <c r="DR189" s="130" t="inlineStr">
        <is>
          <t/>
        </is>
      </c>
      <c r="DS189" s="131" t="inlineStr">
        <is>
          <t/>
        </is>
      </c>
      <c r="DT189" s="132" t="inlineStr">
        <is>
          <t/>
        </is>
      </c>
      <c r="DU189" s="133" t="inlineStr">
        <is>
          <t/>
        </is>
      </c>
      <c r="DV189" s="134" t="inlineStr">
        <is>
          <t/>
        </is>
      </c>
      <c r="DW189" s="135" t="inlineStr">
        <is>
          <t/>
        </is>
      </c>
      <c r="DX189" s="136" t="inlineStr">
        <is>
          <t/>
        </is>
      </c>
      <c r="DY189" s="137" t="inlineStr">
        <is>
          <t>PitchBook Research</t>
        </is>
      </c>
      <c r="DZ189" s="785">
        <f>HYPERLINK("https://my.pitchbook.com?c=88659-37", "View company online")</f>
      </c>
    </row>
    <row r="190">
      <c r="A190" s="139" t="inlineStr">
        <is>
          <t>99109-09</t>
        </is>
      </c>
      <c r="B190" s="140" t="inlineStr">
        <is>
          <t>Attensi</t>
        </is>
      </c>
      <c r="C190" s="141" t="inlineStr">
        <is>
          <t/>
        </is>
      </c>
      <c r="D190" s="142" t="inlineStr">
        <is>
          <t/>
        </is>
      </c>
      <c r="E190" s="143" t="inlineStr">
        <is>
          <t>99109-09</t>
        </is>
      </c>
      <c r="F190" s="144" t="inlineStr">
        <is>
          <t>Provider of gamified 3D simulations and training services. The company's gamified 3D simulations and training services provide practice procedures and interaction training with customers or patients in a virtual replica of the workspace, enabling businesses with a modern way to enhance employee performance and create real world results.</t>
        </is>
      </c>
      <c r="G190" s="145" t="inlineStr">
        <is>
          <t>Information Technology</t>
        </is>
      </c>
      <c r="H190" s="146" t="inlineStr">
        <is>
          <t>Software</t>
        </is>
      </c>
      <c r="I190" s="147" t="inlineStr">
        <is>
          <t>Business/Productivity Software</t>
        </is>
      </c>
      <c r="J190" s="148" t="inlineStr">
        <is>
          <t>Business/Productivity Software*; Education and Training Services (B2B); Educational Software</t>
        </is>
      </c>
      <c r="K190" s="149" t="inlineStr">
        <is>
          <t>EdTech</t>
        </is>
      </c>
      <c r="L190" s="150" t="inlineStr">
        <is>
          <t>Venture Capital-Backed</t>
        </is>
      </c>
      <c r="M190" s="151" t="n">
        <v>5.61</v>
      </c>
      <c r="N190" s="152" t="inlineStr">
        <is>
          <t>Generating Revenue</t>
        </is>
      </c>
      <c r="O190" s="153" t="inlineStr">
        <is>
          <t>Privately Held (backing)</t>
        </is>
      </c>
      <c r="P190" s="154" t="inlineStr">
        <is>
          <t>Venture Capital</t>
        </is>
      </c>
      <c r="Q190" s="155" t="inlineStr">
        <is>
          <t>www.attensi.com</t>
        </is>
      </c>
      <c r="R190" s="156" t="n">
        <v>40.0</v>
      </c>
      <c r="S190" s="157" t="inlineStr">
        <is>
          <t/>
        </is>
      </c>
      <c r="T190" s="158" t="inlineStr">
        <is>
          <t/>
        </is>
      </c>
      <c r="U190" s="159" t="n">
        <v>2009.0</v>
      </c>
      <c r="V190" s="160" t="inlineStr">
        <is>
          <t/>
        </is>
      </c>
      <c r="W190" s="161" t="inlineStr">
        <is>
          <t/>
        </is>
      </c>
      <c r="X190" s="162" t="inlineStr">
        <is>
          <t/>
        </is>
      </c>
      <c r="Y190" s="163" t="n">
        <v>2.04877</v>
      </c>
      <c r="Z190" s="164" t="inlineStr">
        <is>
          <t/>
        </is>
      </c>
      <c r="AA190" s="165" t="inlineStr">
        <is>
          <t/>
        </is>
      </c>
      <c r="AB190" s="166" t="inlineStr">
        <is>
          <t/>
        </is>
      </c>
      <c r="AC190" s="167" t="inlineStr">
        <is>
          <t/>
        </is>
      </c>
      <c r="AD190" s="168" t="inlineStr">
        <is>
          <t>FY 2015</t>
        </is>
      </c>
      <c r="AE190" s="169" t="inlineStr">
        <is>
          <t>165676-42P</t>
        </is>
      </c>
      <c r="AF190" s="170" t="inlineStr">
        <is>
          <t>Odd Skarheim</t>
        </is>
      </c>
      <c r="AG190" s="171" t="inlineStr">
        <is>
          <t>Co-Founder &amp; Chairman</t>
        </is>
      </c>
      <c r="AH190" s="172" t="inlineStr">
        <is>
          <t>odd.skarheim@attensi.com</t>
        </is>
      </c>
      <c r="AI190" s="173" t="inlineStr">
        <is>
          <t>+47 23 90 50 06</t>
        </is>
      </c>
      <c r="AJ190" s="174" t="inlineStr">
        <is>
          <t>Oslo, Norway</t>
        </is>
      </c>
      <c r="AK190" s="175" t="inlineStr">
        <is>
          <t>Forskningsparken</t>
        </is>
      </c>
      <c r="AL190" s="176" t="inlineStr">
        <is>
          <t>Gaustadalléen 21</t>
        </is>
      </c>
      <c r="AM190" s="177" t="inlineStr">
        <is>
          <t>Oslo</t>
        </is>
      </c>
      <c r="AN190" s="178" t="inlineStr">
        <is>
          <t/>
        </is>
      </c>
      <c r="AO190" s="179" t="inlineStr">
        <is>
          <t>0349</t>
        </is>
      </c>
      <c r="AP190" s="180" t="inlineStr">
        <is>
          <t>Norway</t>
        </is>
      </c>
      <c r="AQ190" s="181" t="inlineStr">
        <is>
          <t>+47 23 90 50 06</t>
        </is>
      </c>
      <c r="AR190" s="182" t="inlineStr">
        <is>
          <t/>
        </is>
      </c>
      <c r="AS190" s="183" t="inlineStr">
        <is>
          <t>contact@attensi.com</t>
        </is>
      </c>
      <c r="AT190" s="184" t="inlineStr">
        <is>
          <t>Europe</t>
        </is>
      </c>
      <c r="AU190" s="185" t="inlineStr">
        <is>
          <t>Northern Europe</t>
        </is>
      </c>
      <c r="AV190" s="186" t="inlineStr">
        <is>
          <t>The company raised $6.3 million of venture funding from Viking Venture on June 20, 2017, putting the company's pre-money valuation at $12.2 million. The company will use the funding to use the funds to grow internationally.</t>
        </is>
      </c>
      <c r="AW190" s="187" t="inlineStr">
        <is>
          <t>StartupLab, Viking Venture</t>
        </is>
      </c>
      <c r="AX190" s="188" t="n">
        <v>2.0</v>
      </c>
      <c r="AY190" s="189" t="inlineStr">
        <is>
          <t/>
        </is>
      </c>
      <c r="AZ190" s="190" t="inlineStr">
        <is>
          <t/>
        </is>
      </c>
      <c r="BA190" s="191" t="inlineStr">
        <is>
          <t/>
        </is>
      </c>
      <c r="BB190" s="192" t="inlineStr">
        <is>
          <t>StartupLab (www.startuplab.no), Viking Venture (www.vikingventure.com)</t>
        </is>
      </c>
      <c r="BC190" s="193" t="inlineStr">
        <is>
          <t/>
        </is>
      </c>
      <c r="BD190" s="194" t="inlineStr">
        <is>
          <t/>
        </is>
      </c>
      <c r="BE190" s="195" t="inlineStr">
        <is>
          <t/>
        </is>
      </c>
      <c r="BF190" s="196" t="inlineStr">
        <is>
          <t/>
        </is>
      </c>
      <c r="BG190" s="197" t="n">
        <v>40909.0</v>
      </c>
      <c r="BH190" s="198" t="inlineStr">
        <is>
          <t/>
        </is>
      </c>
      <c r="BI190" s="199" t="inlineStr">
        <is>
          <t/>
        </is>
      </c>
      <c r="BJ190" s="200" t="inlineStr">
        <is>
          <t/>
        </is>
      </c>
      <c r="BK190" s="201" t="inlineStr">
        <is>
          <t/>
        </is>
      </c>
      <c r="BL190" s="202" t="inlineStr">
        <is>
          <t>Accelerator/Incubator</t>
        </is>
      </c>
      <c r="BM190" s="203" t="inlineStr">
        <is>
          <t/>
        </is>
      </c>
      <c r="BN190" s="204" t="inlineStr">
        <is>
          <t/>
        </is>
      </c>
      <c r="BO190" s="205" t="inlineStr">
        <is>
          <t>Other</t>
        </is>
      </c>
      <c r="BP190" s="206" t="inlineStr">
        <is>
          <t/>
        </is>
      </c>
      <c r="BQ190" s="207" t="inlineStr">
        <is>
          <t/>
        </is>
      </c>
      <c r="BR190" s="208" t="inlineStr">
        <is>
          <t/>
        </is>
      </c>
      <c r="BS190" s="209" t="inlineStr">
        <is>
          <t>Completed</t>
        </is>
      </c>
      <c r="BT190" s="210" t="n">
        <v>42906.0</v>
      </c>
      <c r="BU190" s="211" t="n">
        <v>5.61</v>
      </c>
      <c r="BV190" s="212" t="inlineStr">
        <is>
          <t>Actual</t>
        </is>
      </c>
      <c r="BW190" s="213" t="n">
        <v>16.49</v>
      </c>
      <c r="BX190" s="214" t="inlineStr">
        <is>
          <t>Actual</t>
        </is>
      </c>
      <c r="BY190" s="215" t="inlineStr">
        <is>
          <t>Later Stage VC</t>
        </is>
      </c>
      <c r="BZ190" s="216" t="inlineStr">
        <is>
          <t/>
        </is>
      </c>
      <c r="CA190" s="217" t="inlineStr">
        <is>
          <t/>
        </is>
      </c>
      <c r="CB190" s="218" t="inlineStr">
        <is>
          <t>Venture Capital</t>
        </is>
      </c>
      <c r="CC190" s="219" t="inlineStr">
        <is>
          <t/>
        </is>
      </c>
      <c r="CD190" s="220" t="inlineStr">
        <is>
          <t/>
        </is>
      </c>
      <c r="CE190" s="221" t="inlineStr">
        <is>
          <t/>
        </is>
      </c>
      <c r="CF190" s="222" t="inlineStr">
        <is>
          <t>Completed</t>
        </is>
      </c>
      <c r="CG190" s="223" t="inlineStr">
        <is>
          <t>0,22%</t>
        </is>
      </c>
      <c r="CH190" s="224" t="inlineStr">
        <is>
          <t>87</t>
        </is>
      </c>
      <c r="CI190" s="225" t="inlineStr">
        <is>
          <t>-0,01%</t>
        </is>
      </c>
      <c r="CJ190" s="226" t="inlineStr">
        <is>
          <t>-6,32%</t>
        </is>
      </c>
      <c r="CK190" s="227" t="inlineStr">
        <is>
          <t>0,00%</t>
        </is>
      </c>
      <c r="CL190" s="228" t="inlineStr">
        <is>
          <t>28</t>
        </is>
      </c>
      <c r="CM190" s="229" t="inlineStr">
        <is>
          <t>0,33%</t>
        </is>
      </c>
      <c r="CN190" s="230" t="inlineStr">
        <is>
          <t>82</t>
        </is>
      </c>
      <c r="CO190" s="231" t="inlineStr">
        <is>
          <t>0,00%</t>
        </is>
      </c>
      <c r="CP190" s="232" t="inlineStr">
        <is>
          <t>37</t>
        </is>
      </c>
      <c r="CQ190" s="233" t="inlineStr">
        <is>
          <t>0,00%</t>
        </is>
      </c>
      <c r="CR190" s="234" t="inlineStr">
        <is>
          <t>20</t>
        </is>
      </c>
      <c r="CS190" s="235" t="inlineStr">
        <is>
          <t>0,53%</t>
        </is>
      </c>
      <c r="CT190" s="236" t="inlineStr">
        <is>
          <t>88</t>
        </is>
      </c>
      <c r="CU190" s="237" t="inlineStr">
        <is>
          <t>0,13%</t>
        </is>
      </c>
      <c r="CV190" s="238" t="inlineStr">
        <is>
          <t>70</t>
        </is>
      </c>
      <c r="CW190" s="239" t="inlineStr">
        <is>
          <t>0,63x</t>
        </is>
      </c>
      <c r="CX190" s="240" t="inlineStr">
        <is>
          <t>38</t>
        </is>
      </c>
      <c r="CY190" s="241" t="inlineStr">
        <is>
          <t>-0,01x</t>
        </is>
      </c>
      <c r="CZ190" s="242" t="inlineStr">
        <is>
          <t>-0,89%</t>
        </is>
      </c>
      <c r="DA190" s="243" t="inlineStr">
        <is>
          <t>1,32x</t>
        </is>
      </c>
      <c r="DB190" s="244" t="inlineStr">
        <is>
          <t>58</t>
        </is>
      </c>
      <c r="DC190" s="245" t="inlineStr">
        <is>
          <t>0,42x</t>
        </is>
      </c>
      <c r="DD190" s="246" t="inlineStr">
        <is>
          <t>32</t>
        </is>
      </c>
      <c r="DE190" s="247" t="inlineStr">
        <is>
          <t>2,02x</t>
        </is>
      </c>
      <c r="DF190" s="248" t="inlineStr">
        <is>
          <t>66</t>
        </is>
      </c>
      <c r="DG190" s="249" t="inlineStr">
        <is>
          <t>0,61x</t>
        </is>
      </c>
      <c r="DH190" s="250" t="inlineStr">
        <is>
          <t>40</t>
        </is>
      </c>
      <c r="DI190" s="251" t="inlineStr">
        <is>
          <t>0,58x</t>
        </is>
      </c>
      <c r="DJ190" s="252" t="inlineStr">
        <is>
          <t>41</t>
        </is>
      </c>
      <c r="DK190" s="253" t="inlineStr">
        <is>
          <t>0,27x</t>
        </is>
      </c>
      <c r="DL190" s="254" t="inlineStr">
        <is>
          <t>29</t>
        </is>
      </c>
      <c r="DM190" s="255" t="inlineStr">
        <is>
          <t>722</t>
        </is>
      </c>
      <c r="DN190" s="256" t="inlineStr">
        <is>
          <t>87</t>
        </is>
      </c>
      <c r="DO190" s="257" t="inlineStr">
        <is>
          <t>13,70%</t>
        </is>
      </c>
      <c r="DP190" s="258" t="inlineStr">
        <is>
          <t>458</t>
        </is>
      </c>
      <c r="DQ190" s="259" t="inlineStr">
        <is>
          <t>1</t>
        </is>
      </c>
      <c r="DR190" s="260" t="inlineStr">
        <is>
          <t>0,22%</t>
        </is>
      </c>
      <c r="DS190" s="261" t="inlineStr">
        <is>
          <t>22</t>
        </is>
      </c>
      <c r="DT190" s="262" t="inlineStr">
        <is>
          <t>-1</t>
        </is>
      </c>
      <c r="DU190" s="263" t="inlineStr">
        <is>
          <t>-4,35%</t>
        </is>
      </c>
      <c r="DV190" s="264" t="inlineStr">
        <is>
          <t>101</t>
        </is>
      </c>
      <c r="DW190" s="265" t="inlineStr">
        <is>
          <t>0</t>
        </is>
      </c>
      <c r="DX190" s="266" t="inlineStr">
        <is>
          <t>0,00%</t>
        </is>
      </c>
      <c r="DY190" s="267" t="inlineStr">
        <is>
          <t>PitchBook Research</t>
        </is>
      </c>
      <c r="DZ190" s="786">
        <f>HYPERLINK("https://my.pitchbook.com?c=99109-09", "View company online")</f>
      </c>
    </row>
    <row r="191">
      <c r="A191" s="9" t="inlineStr">
        <is>
          <t>64817-02</t>
        </is>
      </c>
      <c r="B191" s="10" t="inlineStr">
        <is>
          <t>Perfect Channel</t>
        </is>
      </c>
      <c r="C191" s="11" t="inlineStr">
        <is>
          <t/>
        </is>
      </c>
      <c r="D191" s="12" t="inlineStr">
        <is>
          <t/>
        </is>
      </c>
      <c r="E191" s="13" t="inlineStr">
        <is>
          <t>64817-02</t>
        </is>
      </c>
      <c r="F191" s="14" t="inlineStr">
        <is>
          <t>Developer of an intelligent auction and trading platform designed to help companies to take control of marketplaces. The company's intelligent auction and trading platform provides integrated intelligent analytics to interrogate transactions in real time, forecast prices, segment markets and assemble pricing benchmarks and indices, enabling companies operating marketplaces, in commodities and financial assets to optimize pricing and liquidity.</t>
        </is>
      </c>
      <c r="G191" s="15" t="inlineStr">
        <is>
          <t>Information Technology</t>
        </is>
      </c>
      <c r="H191" s="16" t="inlineStr">
        <is>
          <t>Software</t>
        </is>
      </c>
      <c r="I191" s="17" t="inlineStr">
        <is>
          <t>Business/Productivity Software</t>
        </is>
      </c>
      <c r="J191" s="18" t="inlineStr">
        <is>
          <t>Business/Productivity Software*; Other Financial Services; Financial Software</t>
        </is>
      </c>
      <c r="K191" s="19" t="inlineStr">
        <is>
          <t>Big Data, FinTech, SaaS</t>
        </is>
      </c>
      <c r="L191" s="20" t="inlineStr">
        <is>
          <t>Venture Capital-Backed</t>
        </is>
      </c>
      <c r="M191" s="21" t="n">
        <v>5.44</v>
      </c>
      <c r="N191" s="22" t="inlineStr">
        <is>
          <t>Generating Revenue</t>
        </is>
      </c>
      <c r="O191" s="23" t="inlineStr">
        <is>
          <t>Privately Held (backing)</t>
        </is>
      </c>
      <c r="P191" s="24" t="inlineStr">
        <is>
          <t>Venture Capital, Private Equity</t>
        </is>
      </c>
      <c r="Q191" s="25" t="inlineStr">
        <is>
          <t>www.perfectchannel.com</t>
        </is>
      </c>
      <c r="R191" s="26" t="n">
        <v>60.0</v>
      </c>
      <c r="S191" s="27" t="inlineStr">
        <is>
          <t/>
        </is>
      </c>
      <c r="T191" s="28" t="inlineStr">
        <is>
          <t/>
        </is>
      </c>
      <c r="U191" s="29" t="n">
        <v>2011.0</v>
      </c>
      <c r="V191" s="30" t="inlineStr">
        <is>
          <t/>
        </is>
      </c>
      <c r="W191" s="31" t="inlineStr">
        <is>
          <t/>
        </is>
      </c>
      <c r="X191" s="32" t="inlineStr">
        <is>
          <t/>
        </is>
      </c>
      <c r="Y191" s="33" t="inlineStr">
        <is>
          <t/>
        </is>
      </c>
      <c r="Z191" s="34" t="inlineStr">
        <is>
          <t/>
        </is>
      </c>
      <c r="AA191" s="35" t="inlineStr">
        <is>
          <t/>
        </is>
      </c>
      <c r="AB191" s="36" t="inlineStr">
        <is>
          <t/>
        </is>
      </c>
      <c r="AC191" s="37" t="inlineStr">
        <is>
          <t/>
        </is>
      </c>
      <c r="AD191" s="38" t="inlineStr">
        <is>
          <t>FY 2013</t>
        </is>
      </c>
      <c r="AE191" s="39" t="inlineStr">
        <is>
          <t>72298-54P</t>
        </is>
      </c>
      <c r="AF191" s="40" t="inlineStr">
        <is>
          <t>Philip Bird</t>
        </is>
      </c>
      <c r="AG191" s="41" t="inlineStr">
        <is>
          <t>Founder, Board Member &amp; Chief Executive Officer</t>
        </is>
      </c>
      <c r="AH191" s="42" t="inlineStr">
        <is>
          <t>phil.bird@perfectchannel.com</t>
        </is>
      </c>
      <c r="AI191" s="43" t="inlineStr">
        <is>
          <t>+44 (0)80 0033 7815</t>
        </is>
      </c>
      <c r="AJ191" s="44" t="inlineStr">
        <is>
          <t>London, United Kingdom</t>
        </is>
      </c>
      <c r="AK191" s="45" t="inlineStr">
        <is>
          <t>43 Tanner Street</t>
        </is>
      </c>
      <c r="AL191" s="46" t="inlineStr">
        <is>
          <t/>
        </is>
      </c>
      <c r="AM191" s="47" t="inlineStr">
        <is>
          <t>London</t>
        </is>
      </c>
      <c r="AN191" s="48" t="inlineStr">
        <is>
          <t>England</t>
        </is>
      </c>
      <c r="AO191" s="49" t="inlineStr">
        <is>
          <t>SE1 3PL</t>
        </is>
      </c>
      <c r="AP191" s="50" t="inlineStr">
        <is>
          <t>United Kingdom</t>
        </is>
      </c>
      <c r="AQ191" s="51" t="inlineStr">
        <is>
          <t>+44 (0)80 0033 7815</t>
        </is>
      </c>
      <c r="AR191" s="52" t="inlineStr">
        <is>
          <t/>
        </is>
      </c>
      <c r="AS191" s="53" t="inlineStr">
        <is>
          <t>hello@perfectchannel.co.uk</t>
        </is>
      </c>
      <c r="AT191" s="54" t="inlineStr">
        <is>
          <t>Europe</t>
        </is>
      </c>
      <c r="AU191" s="55" t="inlineStr">
        <is>
          <t>Western Europe</t>
        </is>
      </c>
      <c r="AV191" s="56" t="inlineStr">
        <is>
          <t>The company raised GBP 2 million of Series A venture funding from Beringea and UIL Finance on March 17, 2017, putting the pre-money valuation at GBP 8.15 million. The funds will be used to support continued sales growth and product development over the coming year.</t>
        </is>
      </c>
      <c r="AW191" s="57" t="inlineStr">
        <is>
          <t>Beringea, UIL Finance</t>
        </is>
      </c>
      <c r="AX191" s="58" t="n">
        <v>2.0</v>
      </c>
      <c r="AY191" s="59" t="inlineStr">
        <is>
          <t/>
        </is>
      </c>
      <c r="AZ191" s="60" t="inlineStr">
        <is>
          <t/>
        </is>
      </c>
      <c r="BA191" s="61" t="inlineStr">
        <is>
          <t/>
        </is>
      </c>
      <c r="BB191" s="62" t="inlineStr">
        <is>
          <t>Beringea (www.beringea.com), UIL Finance (www.uil.limited)</t>
        </is>
      </c>
      <c r="BC191" s="63" t="inlineStr">
        <is>
          <t/>
        </is>
      </c>
      <c r="BD191" s="64" t="inlineStr">
        <is>
          <t/>
        </is>
      </c>
      <c r="BE191" s="65" t="inlineStr">
        <is>
          <t>Orrick, Herrington &amp; Sutcliffe (Legal Advisor)</t>
        </is>
      </c>
      <c r="BF191" s="66" t="inlineStr">
        <is>
          <t>Orrick, Herrington &amp; Sutcliffe (Legal Advisor)</t>
        </is>
      </c>
      <c r="BG191" s="67" t="n">
        <v>41865.0</v>
      </c>
      <c r="BH191" s="68" t="n">
        <v>2.51</v>
      </c>
      <c r="BI191" s="69" t="inlineStr">
        <is>
          <t>Actual</t>
        </is>
      </c>
      <c r="BJ191" s="70" t="n">
        <v>9.03</v>
      </c>
      <c r="BK191" s="71" t="inlineStr">
        <is>
          <t>Actual</t>
        </is>
      </c>
      <c r="BL191" s="72" t="inlineStr">
        <is>
          <t>Early Stage VC</t>
        </is>
      </c>
      <c r="BM191" s="73" t="inlineStr">
        <is>
          <t>Series A</t>
        </is>
      </c>
      <c r="BN191" s="74" t="inlineStr">
        <is>
          <t/>
        </is>
      </c>
      <c r="BO191" s="75" t="inlineStr">
        <is>
          <t>Venture Capital</t>
        </is>
      </c>
      <c r="BP191" s="76" t="inlineStr">
        <is>
          <t/>
        </is>
      </c>
      <c r="BQ191" s="77" t="inlineStr">
        <is>
          <t/>
        </is>
      </c>
      <c r="BR191" s="78" t="inlineStr">
        <is>
          <t/>
        </is>
      </c>
      <c r="BS191" s="79" t="inlineStr">
        <is>
          <t>Completed</t>
        </is>
      </c>
      <c r="BT191" s="80" t="n">
        <v>42914.0</v>
      </c>
      <c r="BU191" s="81" t="n">
        <v>2.28</v>
      </c>
      <c r="BV191" s="82" t="inlineStr">
        <is>
          <t>Actual</t>
        </is>
      </c>
      <c r="BW191" s="83" t="n">
        <v>11.58</v>
      </c>
      <c r="BX191" s="84" t="inlineStr">
        <is>
          <t>Actual</t>
        </is>
      </c>
      <c r="BY191" s="85" t="inlineStr">
        <is>
          <t>Later Stage VC</t>
        </is>
      </c>
      <c r="BZ191" s="86" t="inlineStr">
        <is>
          <t>Series A</t>
        </is>
      </c>
      <c r="CA191" s="87" t="inlineStr">
        <is>
          <t/>
        </is>
      </c>
      <c r="CB191" s="88" t="inlineStr">
        <is>
          <t>Venture Capital</t>
        </is>
      </c>
      <c r="CC191" s="89" t="inlineStr">
        <is>
          <t/>
        </is>
      </c>
      <c r="CD191" s="90" t="inlineStr">
        <is>
          <t/>
        </is>
      </c>
      <c r="CE191" s="91" t="inlineStr">
        <is>
          <t/>
        </is>
      </c>
      <c r="CF191" s="92" t="inlineStr">
        <is>
          <t>Completed</t>
        </is>
      </c>
      <c r="CG191" s="93" t="inlineStr">
        <is>
          <t>-0,56%</t>
        </is>
      </c>
      <c r="CH191" s="94" t="inlineStr">
        <is>
          <t>18</t>
        </is>
      </c>
      <c r="CI191" s="95" t="inlineStr">
        <is>
          <t>-0,23%</t>
        </is>
      </c>
      <c r="CJ191" s="96" t="inlineStr">
        <is>
          <t>-71,09%</t>
        </is>
      </c>
      <c r="CK191" s="97" t="inlineStr">
        <is>
          <t>-1,20%</t>
        </is>
      </c>
      <c r="CL191" s="98" t="inlineStr">
        <is>
          <t>18</t>
        </is>
      </c>
      <c r="CM191" s="99" t="inlineStr">
        <is>
          <t>0,08%</t>
        </is>
      </c>
      <c r="CN191" s="100" t="inlineStr">
        <is>
          <t>55</t>
        </is>
      </c>
      <c r="CO191" s="101" t="inlineStr">
        <is>
          <t>0,00%</t>
        </is>
      </c>
      <c r="CP191" s="102" t="inlineStr">
        <is>
          <t>37</t>
        </is>
      </c>
      <c r="CQ191" s="103" t="inlineStr">
        <is>
          <t>-2,39%</t>
        </is>
      </c>
      <c r="CR191" s="104" t="inlineStr">
        <is>
          <t>2</t>
        </is>
      </c>
      <c r="CS191" s="105" t="inlineStr">
        <is>
          <t>0,00%</t>
        </is>
      </c>
      <c r="CT191" s="106" t="inlineStr">
        <is>
          <t>18</t>
        </is>
      </c>
      <c r="CU191" s="107" t="inlineStr">
        <is>
          <t>0,17%</t>
        </is>
      </c>
      <c r="CV191" s="108" t="inlineStr">
        <is>
          <t>74</t>
        </is>
      </c>
      <c r="CW191" s="109" t="inlineStr">
        <is>
          <t>1,28x</t>
        </is>
      </c>
      <c r="CX191" s="110" t="inlineStr">
        <is>
          <t>55</t>
        </is>
      </c>
      <c r="CY191" s="111" t="inlineStr">
        <is>
          <t>-0,02x</t>
        </is>
      </c>
      <c r="CZ191" s="112" t="inlineStr">
        <is>
          <t>-1,81%</t>
        </is>
      </c>
      <c r="DA191" s="113" t="inlineStr">
        <is>
          <t>2,16x</t>
        </is>
      </c>
      <c r="DB191" s="114" t="inlineStr">
        <is>
          <t>68</t>
        </is>
      </c>
      <c r="DC191" s="115" t="inlineStr">
        <is>
          <t>0,41x</t>
        </is>
      </c>
      <c r="DD191" s="116" t="inlineStr">
        <is>
          <t>32</t>
        </is>
      </c>
      <c r="DE191" s="117" t="inlineStr">
        <is>
          <t>1,09x</t>
        </is>
      </c>
      <c r="DF191" s="118" t="inlineStr">
        <is>
          <t>52</t>
        </is>
      </c>
      <c r="DG191" s="119" t="inlineStr">
        <is>
          <t>3,22x</t>
        </is>
      </c>
      <c r="DH191" s="120" t="inlineStr">
        <is>
          <t>73</t>
        </is>
      </c>
      <c r="DI191" s="121" t="inlineStr">
        <is>
          <t>0,02x</t>
        </is>
      </c>
      <c r="DJ191" s="122" t="inlineStr">
        <is>
          <t>4</t>
        </is>
      </c>
      <c r="DK191" s="123" t="inlineStr">
        <is>
          <t>0,80x</t>
        </is>
      </c>
      <c r="DL191" s="124" t="inlineStr">
        <is>
          <t>46</t>
        </is>
      </c>
      <c r="DM191" s="125" t="inlineStr">
        <is>
          <t>424</t>
        </is>
      </c>
      <c r="DN191" s="126" t="inlineStr">
        <is>
          <t>-63</t>
        </is>
      </c>
      <c r="DO191" s="127" t="inlineStr">
        <is>
          <t>-12,94%</t>
        </is>
      </c>
      <c r="DP191" s="128" t="inlineStr">
        <is>
          <t>18</t>
        </is>
      </c>
      <c r="DQ191" s="129" t="inlineStr">
        <is>
          <t>0</t>
        </is>
      </c>
      <c r="DR191" s="130" t="inlineStr">
        <is>
          <t>0,00%</t>
        </is>
      </c>
      <c r="DS191" s="131" t="inlineStr">
        <is>
          <t>117</t>
        </is>
      </c>
      <c r="DT191" s="132" t="inlineStr">
        <is>
          <t>-3</t>
        </is>
      </c>
      <c r="DU191" s="133" t="inlineStr">
        <is>
          <t>-2,50%</t>
        </is>
      </c>
      <c r="DV191" s="134" t="inlineStr">
        <is>
          <t>299</t>
        </is>
      </c>
      <c r="DW191" s="135" t="inlineStr">
        <is>
          <t>-2</t>
        </is>
      </c>
      <c r="DX191" s="136" t="inlineStr">
        <is>
          <t>-0,66%</t>
        </is>
      </c>
      <c r="DY191" s="137" t="inlineStr">
        <is>
          <t>PitchBook Research</t>
        </is>
      </c>
      <c r="DZ191" s="785">
        <f>HYPERLINK("https://my.pitchbook.com?c=64817-02", "View company online")</f>
      </c>
    </row>
    <row r="192">
      <c r="A192" s="139" t="inlineStr">
        <is>
          <t>104294-35</t>
        </is>
      </c>
      <c r="B192" s="140" t="inlineStr">
        <is>
          <t>Xupes</t>
        </is>
      </c>
      <c r="C192" s="141" t="inlineStr">
        <is>
          <t/>
        </is>
      </c>
      <c r="D192" s="142" t="inlineStr">
        <is>
          <t/>
        </is>
      </c>
      <c r="E192" s="143" t="inlineStr">
        <is>
          <t>104294-35</t>
        </is>
      </c>
      <c r="F192" s="144" t="inlineStr">
        <is>
          <t>Operator of a luxury e-commerce portal designed to offer an online destination for luxury lifestyle. The company's e-commerce portal sells high-end watches, jewellery, handbags, fine art and antiques and also offer significant discounts on top brands without compromising on quality or service along with cleaning, refurbishment, repairs and servicing facilities, enabling customer to get satisfaction with their new purchase.</t>
        </is>
      </c>
      <c r="G192" s="145" t="inlineStr">
        <is>
          <t>Consumer Products and Services (B2C)</t>
        </is>
      </c>
      <c r="H192" s="146" t="inlineStr">
        <is>
          <t>Apparel and Accessories</t>
        </is>
      </c>
      <c r="I192" s="147" t="inlineStr">
        <is>
          <t>Luxury Goods</t>
        </is>
      </c>
      <c r="J192" s="148" t="inlineStr">
        <is>
          <t>Luxury Goods*; Internet Retail; Social/Platform Software</t>
        </is>
      </c>
      <c r="K192" s="149" t="inlineStr">
        <is>
          <t>E-Commerce</t>
        </is>
      </c>
      <c r="L192" s="150" t="inlineStr">
        <is>
          <t>Venture Capital-Backed</t>
        </is>
      </c>
      <c r="M192" s="151" t="n">
        <v>5.33</v>
      </c>
      <c r="N192" s="152" t="inlineStr">
        <is>
          <t>Product Development</t>
        </is>
      </c>
      <c r="O192" s="153" t="inlineStr">
        <is>
          <t>Privately Held (backing)</t>
        </is>
      </c>
      <c r="P192" s="154" t="inlineStr">
        <is>
          <t>Venture Capital</t>
        </is>
      </c>
      <c r="Q192" s="155" t="inlineStr">
        <is>
          <t>www.xupes.com</t>
        </is>
      </c>
      <c r="R192" s="156" t="n">
        <v>25.0</v>
      </c>
      <c r="S192" s="157" t="inlineStr">
        <is>
          <t/>
        </is>
      </c>
      <c r="T192" s="158" t="inlineStr">
        <is>
          <t/>
        </is>
      </c>
      <c r="U192" s="159" t="n">
        <v>2009.0</v>
      </c>
      <c r="V192" s="160" t="inlineStr">
        <is>
          <t/>
        </is>
      </c>
      <c r="W192" s="161" t="inlineStr">
        <is>
          <t/>
        </is>
      </c>
      <c r="X192" s="162" t="inlineStr">
        <is>
          <t/>
        </is>
      </c>
      <c r="Y192" s="163" t="n">
        <v>5.79719</v>
      </c>
      <c r="Z192" s="164" t="inlineStr">
        <is>
          <t/>
        </is>
      </c>
      <c r="AA192" s="165" t="inlineStr">
        <is>
          <t/>
        </is>
      </c>
      <c r="AB192" s="166" t="inlineStr">
        <is>
          <t/>
        </is>
      </c>
      <c r="AC192" s="167" t="inlineStr">
        <is>
          <t/>
        </is>
      </c>
      <c r="AD192" s="168" t="inlineStr">
        <is>
          <t>FY 2015</t>
        </is>
      </c>
      <c r="AE192" s="169" t="inlineStr">
        <is>
          <t>157442-77P</t>
        </is>
      </c>
      <c r="AF192" s="170" t="inlineStr">
        <is>
          <t>Joseph McKenzie</t>
        </is>
      </c>
      <c r="AG192" s="171" t="inlineStr">
        <is>
          <t>Chief Executive Officer, Co-Founder &amp; Co-Owner</t>
        </is>
      </c>
      <c r="AH192" s="172" t="inlineStr">
        <is>
          <t>joseph@xupes.com</t>
        </is>
      </c>
      <c r="AI192" s="173" t="inlineStr">
        <is>
          <t>+44 (0)12 7946 1696</t>
        </is>
      </c>
      <c r="AJ192" s="174" t="inlineStr">
        <is>
          <t>Hertfordshire, United Kingdom</t>
        </is>
      </c>
      <c r="AK192" s="175" t="inlineStr">
        <is>
          <t>The Wheat Barn, Wickham Hall, Hadham Road</t>
        </is>
      </c>
      <c r="AL192" s="176" t="inlineStr">
        <is>
          <t>Bishops Stortford</t>
        </is>
      </c>
      <c r="AM192" s="177" t="inlineStr">
        <is>
          <t>Hertfordshire</t>
        </is>
      </c>
      <c r="AN192" s="178" t="inlineStr">
        <is>
          <t>England</t>
        </is>
      </c>
      <c r="AO192" s="179" t="inlineStr">
        <is>
          <t>CM23 1JG</t>
        </is>
      </c>
      <c r="AP192" s="180" t="inlineStr">
        <is>
          <t>United Kingdom</t>
        </is>
      </c>
      <c r="AQ192" s="181" t="inlineStr">
        <is>
          <t>+44 (0)12 7946 1696</t>
        </is>
      </c>
      <c r="AR192" s="182" t="inlineStr">
        <is>
          <t/>
        </is>
      </c>
      <c r="AS192" s="183" t="inlineStr">
        <is>
          <t>info@xupes.com</t>
        </is>
      </c>
      <c r="AT192" s="184" t="inlineStr">
        <is>
          <t>Europe</t>
        </is>
      </c>
      <c r="AU192" s="185" t="inlineStr">
        <is>
          <t>Western Europe</t>
        </is>
      </c>
      <c r="AV192" s="186" t="inlineStr">
        <is>
          <t>The company raised GBP 3 million of venture funding from Downing on February 21, 2017. The company will use this funding to improve its IT infrastructure, add staff and diversify its product range. Previously, the company raised GBP 430,000 of venture funding from undisclosed investors on September 28, 2016, putting the pre-money valuation at GBP 1.2 million.</t>
        </is>
      </c>
      <c r="AW192" s="187" t="inlineStr">
        <is>
          <t>Downing</t>
        </is>
      </c>
      <c r="AX192" s="188" t="n">
        <v>1.0</v>
      </c>
      <c r="AY192" s="189" t="inlineStr">
        <is>
          <t/>
        </is>
      </c>
      <c r="AZ192" s="190" t="inlineStr">
        <is>
          <t/>
        </is>
      </c>
      <c r="BA192" s="191" t="inlineStr">
        <is>
          <t/>
        </is>
      </c>
      <c r="BB192" s="192" t="inlineStr">
        <is>
          <t>Downing (www.downing.co.uk)</t>
        </is>
      </c>
      <c r="BC192" s="193" t="inlineStr">
        <is>
          <t/>
        </is>
      </c>
      <c r="BD192" s="194" t="inlineStr">
        <is>
          <t/>
        </is>
      </c>
      <c r="BE192" s="195" t="inlineStr">
        <is>
          <t>Wyvern Partners (Advisor: General), Shoosmiths (Legal Advisor), Bryan Cave (Legal Advisor), PBD Consulting (Advisor: General), HMT Corporate Finance (Advisor: General), Intuitus (Advisor: General)</t>
        </is>
      </c>
      <c r="BF192" s="196" t="inlineStr">
        <is>
          <t>Bryan Cave (Legal Advisor), Wyvern Partners (Advisor: General)</t>
        </is>
      </c>
      <c r="BG192" s="197" t="n">
        <v>41640.0</v>
      </c>
      <c r="BH192" s="198" t="n">
        <v>1.81</v>
      </c>
      <c r="BI192" s="199" t="inlineStr">
        <is>
          <t>Actual</t>
        </is>
      </c>
      <c r="BJ192" s="200" t="inlineStr">
        <is>
          <t/>
        </is>
      </c>
      <c r="BK192" s="201" t="inlineStr">
        <is>
          <t/>
        </is>
      </c>
      <c r="BL192" s="202" t="inlineStr">
        <is>
          <t>Angel (individual)</t>
        </is>
      </c>
      <c r="BM192" s="203" t="inlineStr">
        <is>
          <t>Angel</t>
        </is>
      </c>
      <c r="BN192" s="204" t="inlineStr">
        <is>
          <t/>
        </is>
      </c>
      <c r="BO192" s="205" t="inlineStr">
        <is>
          <t>Individual</t>
        </is>
      </c>
      <c r="BP192" s="206" t="inlineStr">
        <is>
          <t/>
        </is>
      </c>
      <c r="BQ192" s="207" t="inlineStr">
        <is>
          <t/>
        </is>
      </c>
      <c r="BR192" s="208" t="inlineStr">
        <is>
          <t/>
        </is>
      </c>
      <c r="BS192" s="209" t="inlineStr">
        <is>
          <t>Completed</t>
        </is>
      </c>
      <c r="BT192" s="210" t="n">
        <v>42787.0</v>
      </c>
      <c r="BU192" s="211" t="n">
        <v>3.52</v>
      </c>
      <c r="BV192" s="212" t="inlineStr">
        <is>
          <t>Actual</t>
        </is>
      </c>
      <c r="BW192" s="213" t="inlineStr">
        <is>
          <t/>
        </is>
      </c>
      <c r="BX192" s="214" t="inlineStr">
        <is>
          <t/>
        </is>
      </c>
      <c r="BY192" s="215" t="inlineStr">
        <is>
          <t>Later Stage VC</t>
        </is>
      </c>
      <c r="BZ192" s="216" t="inlineStr">
        <is>
          <t/>
        </is>
      </c>
      <c r="CA192" s="217" t="inlineStr">
        <is>
          <t/>
        </is>
      </c>
      <c r="CB192" s="218" t="inlineStr">
        <is>
          <t>Venture Capital</t>
        </is>
      </c>
      <c r="CC192" s="219" t="inlineStr">
        <is>
          <t/>
        </is>
      </c>
      <c r="CD192" s="220" t="inlineStr">
        <is>
          <t/>
        </is>
      </c>
      <c r="CE192" s="221" t="inlineStr">
        <is>
          <t/>
        </is>
      </c>
      <c r="CF192" s="222" t="inlineStr">
        <is>
          <t>Completed</t>
        </is>
      </c>
      <c r="CG192" s="223" t="inlineStr">
        <is>
          <t>-4,04%</t>
        </is>
      </c>
      <c r="CH192" s="224" t="inlineStr">
        <is>
          <t>5</t>
        </is>
      </c>
      <c r="CI192" s="225" t="inlineStr">
        <is>
          <t>-0,05%</t>
        </is>
      </c>
      <c r="CJ192" s="226" t="inlineStr">
        <is>
          <t>-1,18%</t>
        </is>
      </c>
      <c r="CK192" s="227" t="inlineStr">
        <is>
          <t>-8,09%</t>
        </is>
      </c>
      <c r="CL192" s="228" t="inlineStr">
        <is>
          <t>5</t>
        </is>
      </c>
      <c r="CM192" s="229" t="inlineStr">
        <is>
          <t>0,01%</t>
        </is>
      </c>
      <c r="CN192" s="230" t="inlineStr">
        <is>
          <t>42</t>
        </is>
      </c>
      <c r="CO192" s="231" t="inlineStr">
        <is>
          <t>-19,95%</t>
        </is>
      </c>
      <c r="CP192" s="232" t="inlineStr">
        <is>
          <t>5</t>
        </is>
      </c>
      <c r="CQ192" s="233" t="inlineStr">
        <is>
          <t>3,77%</t>
        </is>
      </c>
      <c r="CR192" s="234" t="inlineStr">
        <is>
          <t>97</t>
        </is>
      </c>
      <c r="CS192" s="235" t="inlineStr">
        <is>
          <t>0,01%</t>
        </is>
      </c>
      <c r="CT192" s="236" t="inlineStr">
        <is>
          <t>41</t>
        </is>
      </c>
      <c r="CU192" s="237" t="inlineStr">
        <is>
          <t/>
        </is>
      </c>
      <c r="CV192" s="238" t="inlineStr">
        <is>
          <t/>
        </is>
      </c>
      <c r="CW192" s="239" t="inlineStr">
        <is>
          <t>15,41x</t>
        </is>
      </c>
      <c r="CX192" s="240" t="inlineStr">
        <is>
          <t>91</t>
        </is>
      </c>
      <c r="CY192" s="241" t="inlineStr">
        <is>
          <t>0,25x</t>
        </is>
      </c>
      <c r="CZ192" s="242" t="inlineStr">
        <is>
          <t>1,63%</t>
        </is>
      </c>
      <c r="DA192" s="243" t="inlineStr">
        <is>
          <t>20,08x</t>
        </is>
      </c>
      <c r="DB192" s="244" t="inlineStr">
        <is>
          <t>94</t>
        </is>
      </c>
      <c r="DC192" s="245" t="inlineStr">
        <is>
          <t>10,74x</t>
        </is>
      </c>
      <c r="DD192" s="246" t="inlineStr">
        <is>
          <t>85</t>
        </is>
      </c>
      <c r="DE192" s="247" t="inlineStr">
        <is>
          <t>4,10x</t>
        </is>
      </c>
      <c r="DF192" s="248" t="inlineStr">
        <is>
          <t>78</t>
        </is>
      </c>
      <c r="DG192" s="249" t="inlineStr">
        <is>
          <t>36,06x</t>
        </is>
      </c>
      <c r="DH192" s="250" t="inlineStr">
        <is>
          <t>96</t>
        </is>
      </c>
      <c r="DI192" s="251" t="inlineStr">
        <is>
          <t>10,74x</t>
        </is>
      </c>
      <c r="DJ192" s="252" t="inlineStr">
        <is>
          <t>82</t>
        </is>
      </c>
      <c r="DK192" s="253" t="inlineStr">
        <is>
          <t/>
        </is>
      </c>
      <c r="DL192" s="254" t="inlineStr">
        <is>
          <t/>
        </is>
      </c>
      <c r="DM192" s="255" t="inlineStr">
        <is>
          <t>1.524</t>
        </is>
      </c>
      <c r="DN192" s="256" t="inlineStr">
        <is>
          <t>-17</t>
        </is>
      </c>
      <c r="DO192" s="257" t="inlineStr">
        <is>
          <t>-1,10%</t>
        </is>
      </c>
      <c r="DP192" s="258" t="inlineStr">
        <is>
          <t>8.502</t>
        </is>
      </c>
      <c r="DQ192" s="259" t="inlineStr">
        <is>
          <t>7</t>
        </is>
      </c>
      <c r="DR192" s="260" t="inlineStr">
        <is>
          <t>0,08%</t>
        </is>
      </c>
      <c r="DS192" s="261" t="inlineStr">
        <is>
          <t>1.280</t>
        </is>
      </c>
      <c r="DT192" s="262" t="inlineStr">
        <is>
          <t>41</t>
        </is>
      </c>
      <c r="DU192" s="263" t="inlineStr">
        <is>
          <t>3,31%</t>
        </is>
      </c>
      <c r="DV192" s="264" t="inlineStr">
        <is>
          <t>4.435</t>
        </is>
      </c>
      <c r="DW192" s="265" t="inlineStr">
        <is>
          <t>-6</t>
        </is>
      </c>
      <c r="DX192" s="266" t="inlineStr">
        <is>
          <t>-0,14%</t>
        </is>
      </c>
      <c r="DY192" s="267" t="inlineStr">
        <is>
          <t>PitchBook Research</t>
        </is>
      </c>
      <c r="DZ192" s="786">
        <f>HYPERLINK("https://my.pitchbook.com?c=104294-35", "View company online")</f>
      </c>
    </row>
    <row r="193">
      <c r="A193" s="9" t="inlineStr">
        <is>
          <t>53807-14</t>
        </is>
      </c>
      <c r="B193" s="10" t="inlineStr">
        <is>
          <t>TreasuryXpress</t>
        </is>
      </c>
      <c r="C193" s="11" t="inlineStr">
        <is>
          <t>Box Automation Solutions</t>
        </is>
      </c>
      <c r="D193" s="12" t="inlineStr">
        <is>
          <t>BAS</t>
        </is>
      </c>
      <c r="E193" s="13" t="inlineStr">
        <is>
          <t>53807-14</t>
        </is>
      </c>
      <c r="F193" s="14" t="inlineStr">
        <is>
          <t>Provider of global FinTech services intended to offer a range of treasury management services. The company's global FinTech services specialize in delivering innovative services that work for treasury, enabling clients to avail powerful, cost-effective and easy-to-implement Treasury Management capabilities that empower them to be able to work smarter.</t>
        </is>
      </c>
      <c r="G193" s="15" t="inlineStr">
        <is>
          <t>Information Technology</t>
        </is>
      </c>
      <c r="H193" s="16" t="inlineStr">
        <is>
          <t>Software</t>
        </is>
      </c>
      <c r="I193" s="17" t="inlineStr">
        <is>
          <t>Financial Software</t>
        </is>
      </c>
      <c r="J193" s="18" t="inlineStr">
        <is>
          <t>Financial Software*; Consulting Services (B2B); Business/Productivity Software</t>
        </is>
      </c>
      <c r="K193" s="19" t="inlineStr">
        <is>
          <t>FinTech</t>
        </is>
      </c>
      <c r="L193" s="20" t="inlineStr">
        <is>
          <t>Venture Capital-Backed</t>
        </is>
      </c>
      <c r="M193" s="21" t="n">
        <v>5.33</v>
      </c>
      <c r="N193" s="22" t="inlineStr">
        <is>
          <t>Generating Revenue</t>
        </is>
      </c>
      <c r="O193" s="23" t="inlineStr">
        <is>
          <t>Privately Held (backing)</t>
        </is>
      </c>
      <c r="P193" s="24" t="inlineStr">
        <is>
          <t>Venture Capital</t>
        </is>
      </c>
      <c r="Q193" s="25" t="inlineStr">
        <is>
          <t>www.treasuryxpress.com</t>
        </is>
      </c>
      <c r="R193" s="26" t="n">
        <v>14.0</v>
      </c>
      <c r="S193" s="27" t="inlineStr">
        <is>
          <t/>
        </is>
      </c>
      <c r="T193" s="28" t="inlineStr">
        <is>
          <t/>
        </is>
      </c>
      <c r="U193" s="29" t="n">
        <v>2007.0</v>
      </c>
      <c r="V193" s="30" t="inlineStr">
        <is>
          <t/>
        </is>
      </c>
      <c r="W193" s="31" t="inlineStr">
        <is>
          <t/>
        </is>
      </c>
      <c r="X193" s="32" t="inlineStr">
        <is>
          <t/>
        </is>
      </c>
      <c r="Y193" s="33" t="n">
        <v>0.59922</v>
      </c>
      <c r="Z193" s="34" t="inlineStr">
        <is>
          <t/>
        </is>
      </c>
      <c r="AA193" s="35" t="n">
        <v>0.0531</v>
      </c>
      <c r="AB193" s="36" t="inlineStr">
        <is>
          <t/>
        </is>
      </c>
      <c r="AC193" s="37" t="n">
        <v>-0.04551</v>
      </c>
      <c r="AD193" s="38" t="inlineStr">
        <is>
          <t>FY 2011</t>
        </is>
      </c>
      <c r="AE193" s="39" t="inlineStr">
        <is>
          <t>168488-38P</t>
        </is>
      </c>
      <c r="AF193" s="40" t="inlineStr">
        <is>
          <t>Ace Chalhoub</t>
        </is>
      </c>
      <c r="AG193" s="41" t="inlineStr">
        <is>
          <t>Chief Technology Officer &amp; Product Strategy and Development</t>
        </is>
      </c>
      <c r="AH193" s="42" t="inlineStr">
        <is>
          <t>ace.chalhoub@treasuryxpress.com</t>
        </is>
      </c>
      <c r="AI193" s="43" t="inlineStr">
        <is>
          <t>+33 (0)1 53 43 90 43</t>
        </is>
      </c>
      <c r="AJ193" s="44" t="inlineStr">
        <is>
          <t>Paris, France</t>
        </is>
      </c>
      <c r="AK193" s="45" t="inlineStr">
        <is>
          <t>21, Boulevard Haussmann</t>
        </is>
      </c>
      <c r="AL193" s="46" t="inlineStr">
        <is>
          <t/>
        </is>
      </c>
      <c r="AM193" s="47" t="inlineStr">
        <is>
          <t>Paris</t>
        </is>
      </c>
      <c r="AN193" s="48" t="inlineStr">
        <is>
          <t/>
        </is>
      </c>
      <c r="AO193" s="49" t="inlineStr">
        <is>
          <t>75009</t>
        </is>
      </c>
      <c r="AP193" s="50" t="inlineStr">
        <is>
          <t>France</t>
        </is>
      </c>
      <c r="AQ193" s="51" t="inlineStr">
        <is>
          <t>+33 (0)1 53 43 90 43</t>
        </is>
      </c>
      <c r="AR193" s="52" t="inlineStr">
        <is>
          <t>+33 (0)1 53 43 92 92</t>
        </is>
      </c>
      <c r="AS193" s="53" t="inlineStr">
        <is>
          <t>hello@treasuryxpress.com</t>
        </is>
      </c>
      <c r="AT193" s="54" t="inlineStr">
        <is>
          <t>Europe</t>
        </is>
      </c>
      <c r="AU193" s="55" t="inlineStr">
        <is>
          <t>Western Europe</t>
        </is>
      </c>
      <c r="AV193" s="56" t="inlineStr">
        <is>
          <t>The company raised $5 million of venture funding from Middle East Venture Partners, TLF Ventures and iSME Capital on October 16, 2017. The company intends to use the funds to continue to expand their on-demand business model into key markets with treasury-friendly fintech solutions.</t>
        </is>
      </c>
      <c r="AW193" s="57" t="inlineStr">
        <is>
          <t>IncubAlliance, Middle East Venture Partners, Sigma Gestion, TLF Ventures</t>
        </is>
      </c>
      <c r="AX193" s="58" t="n">
        <v>4.0</v>
      </c>
      <c r="AY193" s="59" t="inlineStr">
        <is>
          <t/>
        </is>
      </c>
      <c r="AZ193" s="60" t="inlineStr">
        <is>
          <t/>
        </is>
      </c>
      <c r="BA193" s="61" t="inlineStr">
        <is>
          <t/>
        </is>
      </c>
      <c r="BB193" s="62" t="inlineStr">
        <is>
          <t>IncubAlliance (www.incuballiance.fr), Middle East Venture Partners (www.mevp.com), Sigma Gestion (www.sigmagestion.com)</t>
        </is>
      </c>
      <c r="BC193" s="63" t="inlineStr">
        <is>
          <t/>
        </is>
      </c>
      <c r="BD193" s="64" t="inlineStr">
        <is>
          <t/>
        </is>
      </c>
      <c r="BE193" s="65" t="inlineStr">
        <is>
          <t/>
        </is>
      </c>
      <c r="BF193" s="66" t="inlineStr">
        <is>
          <t/>
        </is>
      </c>
      <c r="BG193" s="67" t="n">
        <v>39083.0</v>
      </c>
      <c r="BH193" s="68" t="inlineStr">
        <is>
          <t/>
        </is>
      </c>
      <c r="BI193" s="69" t="inlineStr">
        <is>
          <t/>
        </is>
      </c>
      <c r="BJ193" s="70" t="inlineStr">
        <is>
          <t/>
        </is>
      </c>
      <c r="BK193" s="71" t="inlineStr">
        <is>
          <t/>
        </is>
      </c>
      <c r="BL193" s="72" t="inlineStr">
        <is>
          <t>Accelerator/Incubator</t>
        </is>
      </c>
      <c r="BM193" s="73" t="inlineStr">
        <is>
          <t/>
        </is>
      </c>
      <c r="BN193" s="74" t="inlineStr">
        <is>
          <t/>
        </is>
      </c>
      <c r="BO193" s="75" t="inlineStr">
        <is>
          <t>Other</t>
        </is>
      </c>
      <c r="BP193" s="76" t="inlineStr">
        <is>
          <t/>
        </is>
      </c>
      <c r="BQ193" s="77" t="inlineStr">
        <is>
          <t/>
        </is>
      </c>
      <c r="BR193" s="78" t="inlineStr">
        <is>
          <t/>
        </is>
      </c>
      <c r="BS193" s="79" t="inlineStr">
        <is>
          <t>Completed</t>
        </is>
      </c>
      <c r="BT193" s="80" t="n">
        <v>43024.0</v>
      </c>
      <c r="BU193" s="81" t="n">
        <v>4.25</v>
      </c>
      <c r="BV193" s="82" t="inlineStr">
        <is>
          <t>Actual</t>
        </is>
      </c>
      <c r="BW193" s="83" t="inlineStr">
        <is>
          <t/>
        </is>
      </c>
      <c r="BX193" s="84" t="inlineStr">
        <is>
          <t/>
        </is>
      </c>
      <c r="BY193" s="85" t="inlineStr">
        <is>
          <t>Later Stage VC</t>
        </is>
      </c>
      <c r="BZ193" s="86" t="inlineStr">
        <is>
          <t/>
        </is>
      </c>
      <c r="CA193" s="87" t="inlineStr">
        <is>
          <t/>
        </is>
      </c>
      <c r="CB193" s="88" t="inlineStr">
        <is>
          <t>Venture Capital</t>
        </is>
      </c>
      <c r="CC193" s="89" t="inlineStr">
        <is>
          <t/>
        </is>
      </c>
      <c r="CD193" s="90" t="inlineStr">
        <is>
          <t/>
        </is>
      </c>
      <c r="CE193" s="91" t="inlineStr">
        <is>
          <t/>
        </is>
      </c>
      <c r="CF193" s="92" t="inlineStr">
        <is>
          <t>Completed</t>
        </is>
      </c>
      <c r="CG193" s="93" t="inlineStr">
        <is>
          <t>0,00%</t>
        </is>
      </c>
      <c r="CH193" s="94" t="inlineStr">
        <is>
          <t>33</t>
        </is>
      </c>
      <c r="CI193" s="95" t="inlineStr">
        <is>
          <t>0,00%</t>
        </is>
      </c>
      <c r="CJ193" s="96" t="inlineStr">
        <is>
          <t>0,00%</t>
        </is>
      </c>
      <c r="CK193" s="97" t="inlineStr">
        <is>
          <t>0,00%</t>
        </is>
      </c>
      <c r="CL193" s="98" t="inlineStr">
        <is>
          <t>28</t>
        </is>
      </c>
      <c r="CM193" s="99" t="inlineStr">
        <is>
          <t>0,00%</t>
        </is>
      </c>
      <c r="CN193" s="100" t="inlineStr">
        <is>
          <t>20</t>
        </is>
      </c>
      <c r="CO193" s="101" t="inlineStr">
        <is>
          <t>0,00%</t>
        </is>
      </c>
      <c r="CP193" s="102" t="inlineStr">
        <is>
          <t>37</t>
        </is>
      </c>
      <c r="CQ193" s="103" t="inlineStr">
        <is>
          <t/>
        </is>
      </c>
      <c r="CR193" s="104" t="inlineStr">
        <is>
          <t/>
        </is>
      </c>
      <c r="CS193" s="105" t="inlineStr">
        <is>
          <t>0,00%</t>
        </is>
      </c>
      <c r="CT193" s="106" t="inlineStr">
        <is>
          <t>18</t>
        </is>
      </c>
      <c r="CU193" s="107" t="inlineStr">
        <is>
          <t>0,00%</t>
        </is>
      </c>
      <c r="CV193" s="108" t="inlineStr">
        <is>
          <t>21</t>
        </is>
      </c>
      <c r="CW193" s="109" t="inlineStr">
        <is>
          <t>0,54x</t>
        </is>
      </c>
      <c r="CX193" s="110" t="inlineStr">
        <is>
          <t>34</t>
        </is>
      </c>
      <c r="CY193" s="111" t="inlineStr">
        <is>
          <t>0,00x</t>
        </is>
      </c>
      <c r="CZ193" s="112" t="inlineStr">
        <is>
          <t>-0,20%</t>
        </is>
      </c>
      <c r="DA193" s="113" t="inlineStr">
        <is>
          <t>0,82x</t>
        </is>
      </c>
      <c r="DB193" s="114" t="inlineStr">
        <is>
          <t>46</t>
        </is>
      </c>
      <c r="DC193" s="115" t="inlineStr">
        <is>
          <t>0,26x</t>
        </is>
      </c>
      <c r="DD193" s="116" t="inlineStr">
        <is>
          <t>25</t>
        </is>
      </c>
      <c r="DE193" s="117" t="inlineStr">
        <is>
          <t>0,82x</t>
        </is>
      </c>
      <c r="DF193" s="118" t="inlineStr">
        <is>
          <t>46</t>
        </is>
      </c>
      <c r="DG193" s="119" t="inlineStr">
        <is>
          <t/>
        </is>
      </c>
      <c r="DH193" s="120" t="inlineStr">
        <is>
          <t/>
        </is>
      </c>
      <c r="DI193" s="121" t="inlineStr">
        <is>
          <t>0,39x</t>
        </is>
      </c>
      <c r="DJ193" s="122" t="inlineStr">
        <is>
          <t>34</t>
        </is>
      </c>
      <c r="DK193" s="123" t="inlineStr">
        <is>
          <t>0,13x</t>
        </is>
      </c>
      <c r="DL193" s="124" t="inlineStr">
        <is>
          <t>19</t>
        </is>
      </c>
      <c r="DM193" s="125" t="inlineStr">
        <is>
          <t>297</t>
        </is>
      </c>
      <c r="DN193" s="126" t="inlineStr">
        <is>
          <t>37</t>
        </is>
      </c>
      <c r="DO193" s="127" t="inlineStr">
        <is>
          <t>14,23%</t>
        </is>
      </c>
      <c r="DP193" s="128" t="inlineStr">
        <is>
          <t>308</t>
        </is>
      </c>
      <c r="DQ193" s="129" t="inlineStr">
        <is>
          <t>0</t>
        </is>
      </c>
      <c r="DR193" s="130" t="inlineStr">
        <is>
          <t>0,00%</t>
        </is>
      </c>
      <c r="DS193" s="131" t="inlineStr">
        <is>
          <t/>
        </is>
      </c>
      <c r="DT193" s="132" t="inlineStr">
        <is>
          <t/>
        </is>
      </c>
      <c r="DU193" s="133" t="inlineStr">
        <is>
          <t/>
        </is>
      </c>
      <c r="DV193" s="134" t="inlineStr">
        <is>
          <t>48</t>
        </is>
      </c>
      <c r="DW193" s="135" t="inlineStr">
        <is>
          <t>0</t>
        </is>
      </c>
      <c r="DX193" s="136" t="inlineStr">
        <is>
          <t>0,00%</t>
        </is>
      </c>
      <c r="DY193" s="137" t="inlineStr">
        <is>
          <t>PitchBook Research</t>
        </is>
      </c>
      <c r="DZ193" s="785">
        <f>HYPERLINK("https://my.pitchbook.com?c=53807-14", "View company online")</f>
      </c>
    </row>
    <row r="194">
      <c r="A194" s="139" t="inlineStr">
        <is>
          <t>154624-78</t>
        </is>
      </c>
      <c r="B194" s="140" t="inlineStr">
        <is>
          <t>Nextory</t>
        </is>
      </c>
      <c r="C194" s="141" t="inlineStr">
        <is>
          <t/>
        </is>
      </c>
      <c r="D194" s="142" t="inlineStr">
        <is>
          <t/>
        </is>
      </c>
      <c r="E194" s="143" t="inlineStr">
        <is>
          <t>154624-78</t>
        </is>
      </c>
      <c r="F194" s="144" t="inlineStr">
        <is>
          <t>Publisher of online books and audios. The company publishes e-books and audio books, where the user can read and listen to unlimited books and music for a fixed subscription fee, enabling users to listen and read directly through their iOS or Android application.</t>
        </is>
      </c>
      <c r="G194" s="145" t="inlineStr">
        <is>
          <t>Consumer Products and Services (B2C)</t>
        </is>
      </c>
      <c r="H194" s="146" t="inlineStr">
        <is>
          <t>Media</t>
        </is>
      </c>
      <c r="I194" s="147" t="inlineStr">
        <is>
          <t>Publishing</t>
        </is>
      </c>
      <c r="J194" s="148" t="inlineStr">
        <is>
          <t>Publishing*</t>
        </is>
      </c>
      <c r="K194" s="149" t="inlineStr">
        <is>
          <t>Mobile</t>
        </is>
      </c>
      <c r="L194" s="150" t="inlineStr">
        <is>
          <t>Venture Capital-Backed</t>
        </is>
      </c>
      <c r="M194" s="151" t="n">
        <v>5.14</v>
      </c>
      <c r="N194" s="152" t="inlineStr">
        <is>
          <t>Generating Revenue</t>
        </is>
      </c>
      <c r="O194" s="153" t="inlineStr">
        <is>
          <t>Privately Held (backing)</t>
        </is>
      </c>
      <c r="P194" s="154" t="inlineStr">
        <is>
          <t>Venture Capital</t>
        </is>
      </c>
      <c r="Q194" s="155" t="inlineStr">
        <is>
          <t>www.nextory.se</t>
        </is>
      </c>
      <c r="R194" s="156" t="n">
        <v>4.0</v>
      </c>
      <c r="S194" s="157" t="inlineStr">
        <is>
          <t/>
        </is>
      </c>
      <c r="T194" s="158" t="inlineStr">
        <is>
          <t/>
        </is>
      </c>
      <c r="U194" s="159" t="n">
        <v>2006.0</v>
      </c>
      <c r="V194" s="160" t="inlineStr">
        <is>
          <t/>
        </is>
      </c>
      <c r="W194" s="161" t="inlineStr">
        <is>
          <t/>
        </is>
      </c>
      <c r="X194" s="162" t="inlineStr">
        <is>
          <t/>
        </is>
      </c>
      <c r="Y194" s="163" t="n">
        <v>1.6126</v>
      </c>
      <c r="Z194" s="164" t="inlineStr">
        <is>
          <t/>
        </is>
      </c>
      <c r="AA194" s="165" t="n">
        <v>-2.17227</v>
      </c>
      <c r="AB194" s="166" t="inlineStr">
        <is>
          <t/>
        </is>
      </c>
      <c r="AC194" s="167" t="n">
        <v>-1.94461</v>
      </c>
      <c r="AD194" s="168" t="inlineStr">
        <is>
          <t>FY 2016</t>
        </is>
      </c>
      <c r="AE194" s="169" t="inlineStr">
        <is>
          <t>129365-65P</t>
        </is>
      </c>
      <c r="AF194" s="170" t="inlineStr">
        <is>
          <t>Shadi Bitar</t>
        </is>
      </c>
      <c r="AG194" s="171" t="inlineStr">
        <is>
          <t>Co-Founder &amp; Chief Executive Officer</t>
        </is>
      </c>
      <c r="AH194" s="172" t="inlineStr">
        <is>
          <t>shadi@nextory.se</t>
        </is>
      </c>
      <c r="AI194" s="173" t="inlineStr">
        <is>
          <t>+49 (0)8 411 1715</t>
        </is>
      </c>
      <c r="AJ194" s="174" t="inlineStr">
        <is>
          <t>Kista, Sweden</t>
        </is>
      </c>
      <c r="AK194" s="175" t="inlineStr">
        <is>
          <t>Torshamnsgatan 28 A</t>
        </is>
      </c>
      <c r="AL194" s="176" t="inlineStr">
        <is>
          <t/>
        </is>
      </c>
      <c r="AM194" s="177" t="inlineStr">
        <is>
          <t>Kista</t>
        </is>
      </c>
      <c r="AN194" s="178" t="inlineStr">
        <is>
          <t/>
        </is>
      </c>
      <c r="AO194" s="179" t="inlineStr">
        <is>
          <t>164 40</t>
        </is>
      </c>
      <c r="AP194" s="180" t="inlineStr">
        <is>
          <t>Sweden</t>
        </is>
      </c>
      <c r="AQ194" s="181" t="inlineStr">
        <is>
          <t>+49 (0)8 411 1715</t>
        </is>
      </c>
      <c r="AR194" s="182" t="inlineStr">
        <is>
          <t/>
        </is>
      </c>
      <c r="AS194" s="183" t="inlineStr">
        <is>
          <t>info@nextory.se</t>
        </is>
      </c>
      <c r="AT194" s="184" t="inlineStr">
        <is>
          <t>Europe</t>
        </is>
      </c>
      <c r="AU194" s="185" t="inlineStr">
        <is>
          <t>Northern Europe</t>
        </is>
      </c>
      <c r="AV194" s="186" t="inlineStr">
        <is>
          <t>The company raised EUR 3 million of venture funding from Acacia Asset Management and Industrifonden on April 27, 2017. Other undisclosed private investors also participated.</t>
        </is>
      </c>
      <c r="AW194" s="187" t="inlineStr">
        <is>
          <t>Acacia Asset Management, Aggregate, Industrifonden</t>
        </is>
      </c>
      <c r="AX194" s="188" t="n">
        <v>3.0</v>
      </c>
      <c r="AY194" s="189" t="inlineStr">
        <is>
          <t/>
        </is>
      </c>
      <c r="AZ194" s="190" t="inlineStr">
        <is>
          <t/>
        </is>
      </c>
      <c r="BA194" s="191" t="inlineStr">
        <is>
          <t/>
        </is>
      </c>
      <c r="BB194" s="192" t="inlineStr">
        <is>
          <t>Acacia Asset Management (www.acacia.nu), Aggregate (www.aggregate.se), Industrifonden (www.industrifonden.com)</t>
        </is>
      </c>
      <c r="BC194" s="193" t="inlineStr">
        <is>
          <t/>
        </is>
      </c>
      <c r="BD194" s="194" t="inlineStr">
        <is>
          <t/>
        </is>
      </c>
      <c r="BE194" s="195" t="inlineStr">
        <is>
          <t/>
        </is>
      </c>
      <c r="BF194" s="196" t="inlineStr">
        <is>
          <t/>
        </is>
      </c>
      <c r="BG194" s="197" t="n">
        <v>42289.0</v>
      </c>
      <c r="BH194" s="198" t="n">
        <v>2.14</v>
      </c>
      <c r="BI194" s="199" t="inlineStr">
        <is>
          <t>Actual</t>
        </is>
      </c>
      <c r="BJ194" s="200" t="inlineStr">
        <is>
          <t/>
        </is>
      </c>
      <c r="BK194" s="201" t="inlineStr">
        <is>
          <t/>
        </is>
      </c>
      <c r="BL194" s="202" t="inlineStr">
        <is>
          <t>Later Stage VC</t>
        </is>
      </c>
      <c r="BM194" s="203" t="inlineStr">
        <is>
          <t/>
        </is>
      </c>
      <c r="BN194" s="204" t="inlineStr">
        <is>
          <t/>
        </is>
      </c>
      <c r="BO194" s="205" t="inlineStr">
        <is>
          <t>Venture Capital</t>
        </is>
      </c>
      <c r="BP194" s="206" t="inlineStr">
        <is>
          <t/>
        </is>
      </c>
      <c r="BQ194" s="207" t="inlineStr">
        <is>
          <t/>
        </is>
      </c>
      <c r="BR194" s="208" t="inlineStr">
        <is>
          <t/>
        </is>
      </c>
      <c r="BS194" s="209" t="inlineStr">
        <is>
          <t>Completed</t>
        </is>
      </c>
      <c r="BT194" s="210" t="n">
        <v>42852.0</v>
      </c>
      <c r="BU194" s="211" t="n">
        <v>3.0</v>
      </c>
      <c r="BV194" s="212" t="inlineStr">
        <is>
          <t>Actual</t>
        </is>
      </c>
      <c r="BW194" s="213" t="inlineStr">
        <is>
          <t/>
        </is>
      </c>
      <c r="BX194" s="214" t="inlineStr">
        <is>
          <t/>
        </is>
      </c>
      <c r="BY194" s="215" t="inlineStr">
        <is>
          <t>Later Stage VC</t>
        </is>
      </c>
      <c r="BZ194" s="216" t="inlineStr">
        <is>
          <t/>
        </is>
      </c>
      <c r="CA194" s="217" t="inlineStr">
        <is>
          <t/>
        </is>
      </c>
      <c r="CB194" s="218" t="inlineStr">
        <is>
          <t>Venture Capital</t>
        </is>
      </c>
      <c r="CC194" s="219" t="inlineStr">
        <is>
          <t/>
        </is>
      </c>
      <c r="CD194" s="220" t="inlineStr">
        <is>
          <t/>
        </is>
      </c>
      <c r="CE194" s="221" t="inlineStr">
        <is>
          <t/>
        </is>
      </c>
      <c r="CF194" s="222" t="inlineStr">
        <is>
          <t>Completed</t>
        </is>
      </c>
      <c r="CG194" s="223" t="inlineStr">
        <is>
          <t>-5,73%</t>
        </is>
      </c>
      <c r="CH194" s="224" t="inlineStr">
        <is>
          <t>3</t>
        </is>
      </c>
      <c r="CI194" s="225" t="inlineStr">
        <is>
          <t>-0,06%</t>
        </is>
      </c>
      <c r="CJ194" s="226" t="inlineStr">
        <is>
          <t>-1,08%</t>
        </is>
      </c>
      <c r="CK194" s="227" t="inlineStr">
        <is>
          <t>-11,63%</t>
        </is>
      </c>
      <c r="CL194" s="228" t="inlineStr">
        <is>
          <t>3</t>
        </is>
      </c>
      <c r="CM194" s="229" t="inlineStr">
        <is>
          <t>0,16%</t>
        </is>
      </c>
      <c r="CN194" s="230" t="inlineStr">
        <is>
          <t>67</t>
        </is>
      </c>
      <c r="CO194" s="231" t="inlineStr">
        <is>
          <t>-22,18%</t>
        </is>
      </c>
      <c r="CP194" s="232" t="inlineStr">
        <is>
          <t>4</t>
        </is>
      </c>
      <c r="CQ194" s="233" t="inlineStr">
        <is>
          <t>-1,07%</t>
        </is>
      </c>
      <c r="CR194" s="234" t="inlineStr">
        <is>
          <t>9</t>
        </is>
      </c>
      <c r="CS194" s="235" t="inlineStr">
        <is>
          <t>0,32%</t>
        </is>
      </c>
      <c r="CT194" s="236" t="inlineStr">
        <is>
          <t>79</t>
        </is>
      </c>
      <c r="CU194" s="237" t="inlineStr">
        <is>
          <t>0,00%</t>
        </is>
      </c>
      <c r="CV194" s="238" t="inlineStr">
        <is>
          <t>21</t>
        </is>
      </c>
      <c r="CW194" s="239" t="inlineStr">
        <is>
          <t>3,62x</t>
        </is>
      </c>
      <c r="CX194" s="240" t="inlineStr">
        <is>
          <t>75</t>
        </is>
      </c>
      <c r="CY194" s="241" t="inlineStr">
        <is>
          <t>-0,05x</t>
        </is>
      </c>
      <c r="CZ194" s="242" t="inlineStr">
        <is>
          <t>-1,43%</t>
        </is>
      </c>
      <c r="DA194" s="243" t="inlineStr">
        <is>
          <t>3,40x</t>
        </is>
      </c>
      <c r="DB194" s="244" t="inlineStr">
        <is>
          <t>76</t>
        </is>
      </c>
      <c r="DC194" s="245" t="inlineStr">
        <is>
          <t>3,85x</t>
        </is>
      </c>
      <c r="DD194" s="246" t="inlineStr">
        <is>
          <t>73</t>
        </is>
      </c>
      <c r="DE194" s="247" t="inlineStr">
        <is>
          <t>0,08x</t>
        </is>
      </c>
      <c r="DF194" s="248" t="inlineStr">
        <is>
          <t>3</t>
        </is>
      </c>
      <c r="DG194" s="249" t="inlineStr">
        <is>
          <t>6,72x</t>
        </is>
      </c>
      <c r="DH194" s="250" t="inlineStr">
        <is>
          <t>82</t>
        </is>
      </c>
      <c r="DI194" s="251" t="inlineStr">
        <is>
          <t>7,45x</t>
        </is>
      </c>
      <c r="DJ194" s="252" t="inlineStr">
        <is>
          <t>79</t>
        </is>
      </c>
      <c r="DK194" s="253" t="inlineStr">
        <is>
          <t>0,24x</t>
        </is>
      </c>
      <c r="DL194" s="254" t="inlineStr">
        <is>
          <t>27</t>
        </is>
      </c>
      <c r="DM194" s="255" t="inlineStr">
        <is>
          <t>32</t>
        </is>
      </c>
      <c r="DN194" s="256" t="inlineStr">
        <is>
          <t>-9</t>
        </is>
      </c>
      <c r="DO194" s="257" t="inlineStr">
        <is>
          <t>-21,95%</t>
        </is>
      </c>
      <c r="DP194" s="258" t="inlineStr">
        <is>
          <t>5.902</t>
        </is>
      </c>
      <c r="DQ194" s="259" t="inlineStr">
        <is>
          <t>10</t>
        </is>
      </c>
      <c r="DR194" s="260" t="inlineStr">
        <is>
          <t>0,17%</t>
        </is>
      </c>
      <c r="DS194" s="261" t="inlineStr">
        <is>
          <t>244</t>
        </is>
      </c>
      <c r="DT194" s="262" t="inlineStr">
        <is>
          <t>-5</t>
        </is>
      </c>
      <c r="DU194" s="263" t="inlineStr">
        <is>
          <t>-2,01%</t>
        </is>
      </c>
      <c r="DV194" s="264" t="inlineStr">
        <is>
          <t>88</t>
        </is>
      </c>
      <c r="DW194" s="265" t="inlineStr">
        <is>
          <t>0</t>
        </is>
      </c>
      <c r="DX194" s="266" t="inlineStr">
        <is>
          <t>0,00%</t>
        </is>
      </c>
      <c r="DY194" s="267" t="inlineStr">
        <is>
          <t>PitchBook Research</t>
        </is>
      </c>
      <c r="DZ194" s="786">
        <f>HYPERLINK("https://my.pitchbook.com?c=154624-78", "View company online")</f>
      </c>
    </row>
    <row r="195">
      <c r="A195" s="9" t="inlineStr">
        <is>
          <t>66115-81</t>
        </is>
      </c>
      <c r="B195" s="10" t="inlineStr">
        <is>
          <t>OpenRent</t>
        </is>
      </c>
      <c r="C195" s="11" t="inlineStr">
        <is>
          <t/>
        </is>
      </c>
      <c r="D195" s="12" t="inlineStr">
        <is>
          <t/>
        </is>
      </c>
      <c r="E195" s="13" t="inlineStr">
        <is>
          <t>66115-81</t>
        </is>
      </c>
      <c r="F195" s="14" t="inlineStr">
        <is>
          <t>Provider of property rental platform designed to bypass the frustration of the rental process. The company's online property rental platform helps tenants and landlords, that covers full migration of a letting agent online, from enquiries and viewing requests, to contract signing and deposit handling managed online providing them with an alternative to traditional renting agents.</t>
        </is>
      </c>
      <c r="G195" s="15" t="inlineStr">
        <is>
          <t>Information Technology</t>
        </is>
      </c>
      <c r="H195" s="16" t="inlineStr">
        <is>
          <t>Software</t>
        </is>
      </c>
      <c r="I195" s="17" t="inlineStr">
        <is>
          <t>Social/Platform Software</t>
        </is>
      </c>
      <c r="J195" s="18" t="inlineStr">
        <is>
          <t>Social/Platform Software*</t>
        </is>
      </c>
      <c r="K195" s="19" t="inlineStr">
        <is>
          <t>SaaS</t>
        </is>
      </c>
      <c r="L195" s="20" t="inlineStr">
        <is>
          <t>Venture Capital-Backed</t>
        </is>
      </c>
      <c r="M195" s="21" t="n">
        <v>5.08</v>
      </c>
      <c r="N195" s="22" t="inlineStr">
        <is>
          <t>Profitable</t>
        </is>
      </c>
      <c r="O195" s="23" t="inlineStr">
        <is>
          <t>Privately Held (backing)</t>
        </is>
      </c>
      <c r="P195" s="24" t="inlineStr">
        <is>
          <t>Venture Capital</t>
        </is>
      </c>
      <c r="Q195" s="25" t="inlineStr">
        <is>
          <t>www.openrent.co.uk</t>
        </is>
      </c>
      <c r="R195" s="26" t="inlineStr">
        <is>
          <t/>
        </is>
      </c>
      <c r="S195" s="27" t="inlineStr">
        <is>
          <t/>
        </is>
      </c>
      <c r="T195" s="28" t="inlineStr">
        <is>
          <t/>
        </is>
      </c>
      <c r="U195" s="29" t="n">
        <v>2012.0</v>
      </c>
      <c r="V195" s="30" t="inlineStr">
        <is>
          <t/>
        </is>
      </c>
      <c r="W195" s="31" t="inlineStr">
        <is>
          <t/>
        </is>
      </c>
      <c r="X195" s="32" t="inlineStr">
        <is>
          <t/>
        </is>
      </c>
      <c r="Y195" s="33" t="inlineStr">
        <is>
          <t/>
        </is>
      </c>
      <c r="Z195" s="34" t="inlineStr">
        <is>
          <t/>
        </is>
      </c>
      <c r="AA195" s="35" t="inlineStr">
        <is>
          <t/>
        </is>
      </c>
      <c r="AB195" s="36" t="inlineStr">
        <is>
          <t/>
        </is>
      </c>
      <c r="AC195" s="37" t="inlineStr">
        <is>
          <t/>
        </is>
      </c>
      <c r="AD195" s="38" t="inlineStr">
        <is>
          <t/>
        </is>
      </c>
      <c r="AE195" s="39" t="inlineStr">
        <is>
          <t>96759-37P</t>
        </is>
      </c>
      <c r="AF195" s="40" t="inlineStr">
        <is>
          <t>Darius Bradbury</t>
        </is>
      </c>
      <c r="AG195" s="41" t="inlineStr">
        <is>
          <t>Co-Founder &amp; Board Member</t>
        </is>
      </c>
      <c r="AH195" s="42" t="inlineStr">
        <is>
          <t>daz@openrent.co.uk</t>
        </is>
      </c>
      <c r="AI195" s="43" t="inlineStr">
        <is>
          <t/>
        </is>
      </c>
      <c r="AJ195" s="44" t="inlineStr">
        <is>
          <t>London, United Kingdom</t>
        </is>
      </c>
      <c r="AK195" s="45" t="inlineStr">
        <is>
          <t>Office 34</t>
        </is>
      </c>
      <c r="AL195" s="46" t="inlineStr">
        <is>
          <t>67-68 Hatton Garden</t>
        </is>
      </c>
      <c r="AM195" s="47" t="inlineStr">
        <is>
          <t>London</t>
        </is>
      </c>
      <c r="AN195" s="48" t="inlineStr">
        <is>
          <t>England</t>
        </is>
      </c>
      <c r="AO195" s="49" t="inlineStr">
        <is>
          <t>EC1N 8JY</t>
        </is>
      </c>
      <c r="AP195" s="50" t="inlineStr">
        <is>
          <t>United Kingdom</t>
        </is>
      </c>
      <c r="AQ195" s="51" t="inlineStr">
        <is>
          <t/>
        </is>
      </c>
      <c r="AR195" s="52" t="inlineStr">
        <is>
          <t/>
        </is>
      </c>
      <c r="AS195" s="53" t="inlineStr">
        <is>
          <t/>
        </is>
      </c>
      <c r="AT195" s="54" t="inlineStr">
        <is>
          <t>Europe</t>
        </is>
      </c>
      <c r="AU195" s="55" t="inlineStr">
        <is>
          <t>Western Europe</t>
        </is>
      </c>
      <c r="AV195" s="56" t="inlineStr">
        <is>
          <t>The company raised GBP 4.4 million of venture funding from Global Founders Capital on March 3, 2017. The company will use the funding to expand its team and further develop it product.</t>
        </is>
      </c>
      <c r="AW195" s="57" t="inlineStr">
        <is>
          <t>Global Founders Capital, Northern &amp; Shell Ventures</t>
        </is>
      </c>
      <c r="AX195" s="58" t="n">
        <v>2.0</v>
      </c>
      <c r="AY195" s="59" t="inlineStr">
        <is>
          <t/>
        </is>
      </c>
      <c r="AZ195" s="60" t="inlineStr">
        <is>
          <t/>
        </is>
      </c>
      <c r="BA195" s="61" t="inlineStr">
        <is>
          <t/>
        </is>
      </c>
      <c r="BB195" s="62" t="inlineStr">
        <is>
          <t>Global Founders Capital (www.globalfounders.vc), Northern &amp; Shell Ventures (www.northernandshell.co.uk)</t>
        </is>
      </c>
      <c r="BC195" s="63" t="inlineStr">
        <is>
          <t/>
        </is>
      </c>
      <c r="BD195" s="64" t="inlineStr">
        <is>
          <t/>
        </is>
      </c>
      <c r="BE195" s="65" t="inlineStr">
        <is>
          <t/>
        </is>
      </c>
      <c r="BF195" s="66" t="inlineStr">
        <is>
          <t/>
        </is>
      </c>
      <c r="BG195" s="67" t="n">
        <v>41869.0</v>
      </c>
      <c r="BH195" s="68" t="n">
        <v>1.25</v>
      </c>
      <c r="BI195" s="69" t="inlineStr">
        <is>
          <t>Actual</t>
        </is>
      </c>
      <c r="BJ195" s="70" t="inlineStr">
        <is>
          <t/>
        </is>
      </c>
      <c r="BK195" s="71" t="inlineStr">
        <is>
          <t/>
        </is>
      </c>
      <c r="BL195" s="72" t="inlineStr">
        <is>
          <t>Early Stage VC</t>
        </is>
      </c>
      <c r="BM195" s="73" t="inlineStr">
        <is>
          <t>Series A</t>
        </is>
      </c>
      <c r="BN195" s="74" t="inlineStr">
        <is>
          <t/>
        </is>
      </c>
      <c r="BO195" s="75" t="inlineStr">
        <is>
          <t>Venture Capital</t>
        </is>
      </c>
      <c r="BP195" s="76" t="inlineStr">
        <is>
          <t/>
        </is>
      </c>
      <c r="BQ195" s="77" t="inlineStr">
        <is>
          <t/>
        </is>
      </c>
      <c r="BR195" s="78" t="inlineStr">
        <is>
          <t/>
        </is>
      </c>
      <c r="BS195" s="79" t="inlineStr">
        <is>
          <t>Completed</t>
        </is>
      </c>
      <c r="BT195" s="80" t="n">
        <v>42797.0</v>
      </c>
      <c r="BU195" s="81" t="n">
        <v>5.08</v>
      </c>
      <c r="BV195" s="82" t="inlineStr">
        <is>
          <t>Actual</t>
        </is>
      </c>
      <c r="BW195" s="83" t="inlineStr">
        <is>
          <t/>
        </is>
      </c>
      <c r="BX195" s="84" t="inlineStr">
        <is>
          <t/>
        </is>
      </c>
      <c r="BY195" s="85" t="inlineStr">
        <is>
          <t>Later Stage VC</t>
        </is>
      </c>
      <c r="BZ195" s="86" t="inlineStr">
        <is>
          <t/>
        </is>
      </c>
      <c r="CA195" s="87" t="inlineStr">
        <is>
          <t/>
        </is>
      </c>
      <c r="CB195" s="88" t="inlineStr">
        <is>
          <t>Venture Capital</t>
        </is>
      </c>
      <c r="CC195" s="89" t="inlineStr">
        <is>
          <t/>
        </is>
      </c>
      <c r="CD195" s="90" t="inlineStr">
        <is>
          <t/>
        </is>
      </c>
      <c r="CE195" s="91" t="inlineStr">
        <is>
          <t/>
        </is>
      </c>
      <c r="CF195" s="92" t="inlineStr">
        <is>
          <t>Completed</t>
        </is>
      </c>
      <c r="CG195" s="93" t="inlineStr">
        <is>
          <t>-6,48%</t>
        </is>
      </c>
      <c r="CH195" s="94" t="inlineStr">
        <is>
          <t>2</t>
        </is>
      </c>
      <c r="CI195" s="95" t="inlineStr">
        <is>
          <t>0,02%</t>
        </is>
      </c>
      <c r="CJ195" s="96" t="inlineStr">
        <is>
          <t>0,35%</t>
        </is>
      </c>
      <c r="CK195" s="97" t="inlineStr">
        <is>
          <t>-13,98%</t>
        </is>
      </c>
      <c r="CL195" s="98" t="inlineStr">
        <is>
          <t>1</t>
        </is>
      </c>
      <c r="CM195" s="99" t="inlineStr">
        <is>
          <t>1,02%</t>
        </is>
      </c>
      <c r="CN195" s="100" t="inlineStr">
        <is>
          <t>96</t>
        </is>
      </c>
      <c r="CO195" s="101" t="inlineStr">
        <is>
          <t>-28,57%</t>
        </is>
      </c>
      <c r="CP195" s="102" t="inlineStr">
        <is>
          <t>1</t>
        </is>
      </c>
      <c r="CQ195" s="103" t="inlineStr">
        <is>
          <t>0,62%</t>
        </is>
      </c>
      <c r="CR195" s="104" t="inlineStr">
        <is>
          <t>92</t>
        </is>
      </c>
      <c r="CS195" s="105" t="inlineStr">
        <is>
          <t>1,85%</t>
        </is>
      </c>
      <c r="CT195" s="106" t="inlineStr">
        <is>
          <t>98</t>
        </is>
      </c>
      <c r="CU195" s="107" t="inlineStr">
        <is>
          <t>0,19%</t>
        </is>
      </c>
      <c r="CV195" s="108" t="inlineStr">
        <is>
          <t>75</t>
        </is>
      </c>
      <c r="CW195" s="109" t="inlineStr">
        <is>
          <t>12,42x</t>
        </is>
      </c>
      <c r="CX195" s="110" t="inlineStr">
        <is>
          <t>90</t>
        </is>
      </c>
      <c r="CY195" s="111" t="inlineStr">
        <is>
          <t>0,02x</t>
        </is>
      </c>
      <c r="CZ195" s="112" t="inlineStr">
        <is>
          <t>0,15%</t>
        </is>
      </c>
      <c r="DA195" s="113" t="inlineStr">
        <is>
          <t>6,98x</t>
        </is>
      </c>
      <c r="DB195" s="114" t="inlineStr">
        <is>
          <t>85</t>
        </is>
      </c>
      <c r="DC195" s="115" t="inlineStr">
        <is>
          <t>17,86x</t>
        </is>
      </c>
      <c r="DD195" s="116" t="inlineStr">
        <is>
          <t>89</t>
        </is>
      </c>
      <c r="DE195" s="117" t="inlineStr">
        <is>
          <t>5,23x</t>
        </is>
      </c>
      <c r="DF195" s="118" t="inlineStr">
        <is>
          <t>81</t>
        </is>
      </c>
      <c r="DG195" s="119" t="inlineStr">
        <is>
          <t>8,72x</t>
        </is>
      </c>
      <c r="DH195" s="120" t="inlineStr">
        <is>
          <t>85</t>
        </is>
      </c>
      <c r="DI195" s="121" t="inlineStr">
        <is>
          <t>19,39x</t>
        </is>
      </c>
      <c r="DJ195" s="122" t="inlineStr">
        <is>
          <t>87</t>
        </is>
      </c>
      <c r="DK195" s="123" t="inlineStr">
        <is>
          <t>16,33x</t>
        </is>
      </c>
      <c r="DL195" s="124" t="inlineStr">
        <is>
          <t>91</t>
        </is>
      </c>
      <c r="DM195" s="125" t="inlineStr">
        <is>
          <t>1.941</t>
        </is>
      </c>
      <c r="DN195" s="126" t="inlineStr">
        <is>
          <t>-3</t>
        </is>
      </c>
      <c r="DO195" s="127" t="inlineStr">
        <is>
          <t>-0,15%</t>
        </is>
      </c>
      <c r="DP195" s="128" t="inlineStr">
        <is>
          <t>15.264</t>
        </is>
      </c>
      <c r="DQ195" s="129" t="inlineStr">
        <is>
          <t>303</t>
        </is>
      </c>
      <c r="DR195" s="130" t="inlineStr">
        <is>
          <t>2,03%</t>
        </is>
      </c>
      <c r="DS195" s="131" t="inlineStr">
        <is>
          <t>313</t>
        </is>
      </c>
      <c r="DT195" s="132" t="inlineStr">
        <is>
          <t>2</t>
        </is>
      </c>
      <c r="DU195" s="133" t="inlineStr">
        <is>
          <t>0,64%</t>
        </is>
      </c>
      <c r="DV195" s="134" t="inlineStr">
        <is>
          <t>6.104</t>
        </is>
      </c>
      <c r="DW195" s="135" t="inlineStr">
        <is>
          <t>10</t>
        </is>
      </c>
      <c r="DX195" s="136" t="inlineStr">
        <is>
          <t>0,16%</t>
        </is>
      </c>
      <c r="DY195" s="137" t="inlineStr">
        <is>
          <t>PitchBook Research</t>
        </is>
      </c>
      <c r="DZ195" s="785">
        <f>HYPERLINK("https://my.pitchbook.com?c=66115-81", "View company online")</f>
      </c>
    </row>
    <row r="196">
      <c r="A196" s="139" t="inlineStr">
        <is>
          <t>121394-17</t>
        </is>
      </c>
      <c r="B196" s="140" t="inlineStr">
        <is>
          <t>Taiger</t>
        </is>
      </c>
      <c r="C196" s="141" t="inlineStr">
        <is>
          <t/>
        </is>
      </c>
      <c r="D196" s="142" t="inlineStr">
        <is>
          <t/>
        </is>
      </c>
      <c r="E196" s="143" t="inlineStr">
        <is>
          <t>121394-17</t>
        </is>
      </c>
      <c r="F196" s="144" t="inlineStr">
        <is>
          <t>Developer of applied artificial intelligence products designed to offer information access and retrieval services for the finance, insurance and government sectors. The company's products specialize in information access and knowledge extraction with technology which applies a hybrid between the symbolic and probabilistic disciplines of AI based on computational semantics, natural language processing (NLP) and machine learning, enabling businesses and their customers to read and understand information as a human worker does, transforming unstructured information to knowledge.</t>
        </is>
      </c>
      <c r="G196" s="145" t="inlineStr">
        <is>
          <t>Information Technology</t>
        </is>
      </c>
      <c r="H196" s="146" t="inlineStr">
        <is>
          <t>Software</t>
        </is>
      </c>
      <c r="I196" s="147" t="inlineStr">
        <is>
          <t>Business/Productivity Software</t>
        </is>
      </c>
      <c r="J196" s="148" t="inlineStr">
        <is>
          <t>Business/Productivity Software*</t>
        </is>
      </c>
      <c r="K196" s="149" t="inlineStr">
        <is>
          <t>Artificial Intelligence &amp; Machine Learning, Big Data</t>
        </is>
      </c>
      <c r="L196" s="150" t="inlineStr">
        <is>
          <t>Venture Capital-Backed</t>
        </is>
      </c>
      <c r="M196" s="151" t="n">
        <v>4.98</v>
      </c>
      <c r="N196" s="152" t="inlineStr">
        <is>
          <t>Generating Revenue</t>
        </is>
      </c>
      <c r="O196" s="153" t="inlineStr">
        <is>
          <t>Privately Held (backing)</t>
        </is>
      </c>
      <c r="P196" s="154" t="inlineStr">
        <is>
          <t>Venture Capital</t>
        </is>
      </c>
      <c r="Q196" s="155" t="inlineStr">
        <is>
          <t>www.taiger.com</t>
        </is>
      </c>
      <c r="R196" s="156" t="inlineStr">
        <is>
          <t/>
        </is>
      </c>
      <c r="S196" s="157" t="inlineStr">
        <is>
          <t/>
        </is>
      </c>
      <c r="T196" s="158" t="inlineStr">
        <is>
          <t/>
        </is>
      </c>
      <c r="U196" s="159" t="n">
        <v>2009.0</v>
      </c>
      <c r="V196" s="160" t="inlineStr">
        <is>
          <t/>
        </is>
      </c>
      <c r="W196" s="161" t="inlineStr">
        <is>
          <t/>
        </is>
      </c>
      <c r="X196" s="162" t="inlineStr">
        <is>
          <t/>
        </is>
      </c>
      <c r="Y196" s="163" t="inlineStr">
        <is>
          <t/>
        </is>
      </c>
      <c r="Z196" s="164" t="inlineStr">
        <is>
          <t/>
        </is>
      </c>
      <c r="AA196" s="165" t="inlineStr">
        <is>
          <t/>
        </is>
      </c>
      <c r="AB196" s="166" t="inlineStr">
        <is>
          <t/>
        </is>
      </c>
      <c r="AC196" s="167" t="inlineStr">
        <is>
          <t/>
        </is>
      </c>
      <c r="AD196" s="168" t="inlineStr">
        <is>
          <t/>
        </is>
      </c>
      <c r="AE196" s="169" t="inlineStr">
        <is>
          <t>151065-64P</t>
        </is>
      </c>
      <c r="AF196" s="170" t="inlineStr">
        <is>
          <t>Sinuhe Arroyo</t>
        </is>
      </c>
      <c r="AG196" s="171" t="inlineStr">
        <is>
          <t>Chief Executive Officer &amp; Founder</t>
        </is>
      </c>
      <c r="AH196" s="172" t="inlineStr">
        <is>
          <t>sinuhe.arroyo@taiger.com</t>
        </is>
      </c>
      <c r="AI196" s="173" t="inlineStr">
        <is>
          <t>+34 66 172 5509</t>
        </is>
      </c>
      <c r="AJ196" s="174" t="inlineStr">
        <is>
          <t>Madrid, Spain</t>
        </is>
      </c>
      <c r="AK196" s="175" t="inlineStr">
        <is>
          <t>Apolonio Morales 13, Local H</t>
        </is>
      </c>
      <c r="AL196" s="176" t="inlineStr">
        <is>
          <t/>
        </is>
      </c>
      <c r="AM196" s="177" t="inlineStr">
        <is>
          <t>Madrid</t>
        </is>
      </c>
      <c r="AN196" s="178" t="inlineStr">
        <is>
          <t/>
        </is>
      </c>
      <c r="AO196" s="179" t="inlineStr">
        <is>
          <t>28036</t>
        </is>
      </c>
      <c r="AP196" s="180" t="inlineStr">
        <is>
          <t>Spain</t>
        </is>
      </c>
      <c r="AQ196" s="181" t="inlineStr">
        <is>
          <t>+34 91 449 7284</t>
        </is>
      </c>
      <c r="AR196" s="182" t="inlineStr">
        <is>
          <t/>
        </is>
      </c>
      <c r="AS196" s="183" t="inlineStr">
        <is>
          <t>business@taiger.com</t>
        </is>
      </c>
      <c r="AT196" s="184" t="inlineStr">
        <is>
          <t>Europe</t>
        </is>
      </c>
      <c r="AU196" s="185" t="inlineStr">
        <is>
          <t>Southern Europe</t>
        </is>
      </c>
      <c r="AV196" s="186" t="inlineStr">
        <is>
          <t>The company raised SGD$ 8 million of Series A venture funding led by Tembusu Partners on August 24, 2017. SGInnovate and ENISA also participated in this round. The company intends to use the funds to accelerate its sales and R&amp;D efforts in Singapore and expand its presence worldwide.</t>
        </is>
      </c>
      <c r="AW196" s="187" t="inlineStr">
        <is>
          <t>ENISA, SGInnovate, Tembusu Partners</t>
        </is>
      </c>
      <c r="AX196" s="188" t="n">
        <v>3.0</v>
      </c>
      <c r="AY196" s="189" t="inlineStr">
        <is>
          <t/>
        </is>
      </c>
      <c r="AZ196" s="190" t="inlineStr">
        <is>
          <t/>
        </is>
      </c>
      <c r="BA196" s="191" t="inlineStr">
        <is>
          <t/>
        </is>
      </c>
      <c r="BB196" s="192" t="inlineStr">
        <is>
          <t>SGInnovate (www.sginnovate.com), Tembusu Partners (www.tembusupartners.com)</t>
        </is>
      </c>
      <c r="BC196" s="193" t="inlineStr">
        <is>
          <t/>
        </is>
      </c>
      <c r="BD196" s="194" t="inlineStr">
        <is>
          <t/>
        </is>
      </c>
      <c r="BE196" s="195" t="inlineStr">
        <is>
          <t/>
        </is>
      </c>
      <c r="BF196" s="196" t="inlineStr">
        <is>
          <t/>
        </is>
      </c>
      <c r="BG196" s="197" t="n">
        <v>42971.0</v>
      </c>
      <c r="BH196" s="198" t="n">
        <v>4.98</v>
      </c>
      <c r="BI196" s="199" t="inlineStr">
        <is>
          <t>Actual</t>
        </is>
      </c>
      <c r="BJ196" s="200" t="inlineStr">
        <is>
          <t/>
        </is>
      </c>
      <c r="BK196" s="201" t="inlineStr">
        <is>
          <t/>
        </is>
      </c>
      <c r="BL196" s="202" t="inlineStr">
        <is>
          <t>Later Stage VC</t>
        </is>
      </c>
      <c r="BM196" s="203" t="inlineStr">
        <is>
          <t>Series A</t>
        </is>
      </c>
      <c r="BN196" s="204" t="inlineStr">
        <is>
          <t/>
        </is>
      </c>
      <c r="BO196" s="205" t="inlineStr">
        <is>
          <t>Venture Capital</t>
        </is>
      </c>
      <c r="BP196" s="206" t="inlineStr">
        <is>
          <t/>
        </is>
      </c>
      <c r="BQ196" s="207" t="inlineStr">
        <is>
          <t/>
        </is>
      </c>
      <c r="BR196" s="208" t="inlineStr">
        <is>
          <t/>
        </is>
      </c>
      <c r="BS196" s="209" t="inlineStr">
        <is>
          <t>Completed</t>
        </is>
      </c>
      <c r="BT196" s="210" t="n">
        <v>42971.0</v>
      </c>
      <c r="BU196" s="211" t="n">
        <v>4.98</v>
      </c>
      <c r="BV196" s="212" t="inlineStr">
        <is>
          <t>Actual</t>
        </is>
      </c>
      <c r="BW196" s="213" t="inlineStr">
        <is>
          <t/>
        </is>
      </c>
      <c r="BX196" s="214" t="inlineStr">
        <is>
          <t/>
        </is>
      </c>
      <c r="BY196" s="215" t="inlineStr">
        <is>
          <t>Later Stage VC</t>
        </is>
      </c>
      <c r="BZ196" s="216" t="inlineStr">
        <is>
          <t>Series A</t>
        </is>
      </c>
      <c r="CA196" s="217" t="inlineStr">
        <is>
          <t/>
        </is>
      </c>
      <c r="CB196" s="218" t="inlineStr">
        <is>
          <t>Venture Capital</t>
        </is>
      </c>
      <c r="CC196" s="219" t="inlineStr">
        <is>
          <t/>
        </is>
      </c>
      <c r="CD196" s="220" t="inlineStr">
        <is>
          <t/>
        </is>
      </c>
      <c r="CE196" s="221" t="inlineStr">
        <is>
          <t/>
        </is>
      </c>
      <c r="CF196" s="222" t="inlineStr">
        <is>
          <t>Completed</t>
        </is>
      </c>
      <c r="CG196" s="223" t="inlineStr">
        <is>
          <t>0,03%</t>
        </is>
      </c>
      <c r="CH196" s="224" t="inlineStr">
        <is>
          <t>76</t>
        </is>
      </c>
      <c r="CI196" s="225" t="inlineStr">
        <is>
          <t>0,00%</t>
        </is>
      </c>
      <c r="CJ196" s="226" t="inlineStr">
        <is>
          <t>0,09%</t>
        </is>
      </c>
      <c r="CK196" s="227" t="inlineStr">
        <is>
          <t>0,00%</t>
        </is>
      </c>
      <c r="CL196" s="228" t="inlineStr">
        <is>
          <t>28</t>
        </is>
      </c>
      <c r="CM196" s="229" t="inlineStr">
        <is>
          <t>0,05%</t>
        </is>
      </c>
      <c r="CN196" s="230" t="inlineStr">
        <is>
          <t>49</t>
        </is>
      </c>
      <c r="CO196" s="231" t="inlineStr">
        <is>
          <t>0,00%</t>
        </is>
      </c>
      <c r="CP196" s="232" t="inlineStr">
        <is>
          <t>37</t>
        </is>
      </c>
      <c r="CQ196" s="233" t="inlineStr">
        <is>
          <t>0,00%</t>
        </is>
      </c>
      <c r="CR196" s="234" t="inlineStr">
        <is>
          <t>20</t>
        </is>
      </c>
      <c r="CS196" s="235" t="inlineStr">
        <is>
          <t>0,07%</t>
        </is>
      </c>
      <c r="CT196" s="236" t="inlineStr">
        <is>
          <t>51</t>
        </is>
      </c>
      <c r="CU196" s="237" t="inlineStr">
        <is>
          <t>0,04%</t>
        </is>
      </c>
      <c r="CV196" s="238" t="inlineStr">
        <is>
          <t>58</t>
        </is>
      </c>
      <c r="CW196" s="239" t="inlineStr">
        <is>
          <t>1,01x</t>
        </is>
      </c>
      <c r="CX196" s="240" t="inlineStr">
        <is>
          <t>49</t>
        </is>
      </c>
      <c r="CY196" s="241" t="inlineStr">
        <is>
          <t>-0,02x</t>
        </is>
      </c>
      <c r="CZ196" s="242" t="inlineStr">
        <is>
          <t>-1,65%</t>
        </is>
      </c>
      <c r="DA196" s="243" t="inlineStr">
        <is>
          <t>1,33x</t>
        </is>
      </c>
      <c r="DB196" s="244" t="inlineStr">
        <is>
          <t>58</t>
        </is>
      </c>
      <c r="DC196" s="245" t="inlineStr">
        <is>
          <t>0,70x</t>
        </is>
      </c>
      <c r="DD196" s="246" t="inlineStr">
        <is>
          <t>42</t>
        </is>
      </c>
      <c r="DE196" s="247" t="inlineStr">
        <is>
          <t>0,18x</t>
        </is>
      </c>
      <c r="DF196" s="248" t="inlineStr">
        <is>
          <t>10</t>
        </is>
      </c>
      <c r="DG196" s="249" t="inlineStr">
        <is>
          <t>2,47x</t>
        </is>
      </c>
      <c r="DH196" s="250" t="inlineStr">
        <is>
          <t>69</t>
        </is>
      </c>
      <c r="DI196" s="251" t="inlineStr">
        <is>
          <t>0,43x</t>
        </is>
      </c>
      <c r="DJ196" s="252" t="inlineStr">
        <is>
          <t>36</t>
        </is>
      </c>
      <c r="DK196" s="253" t="inlineStr">
        <is>
          <t>0,97x</t>
        </is>
      </c>
      <c r="DL196" s="254" t="inlineStr">
        <is>
          <t>50</t>
        </is>
      </c>
      <c r="DM196" s="255" t="inlineStr">
        <is>
          <t>66</t>
        </is>
      </c>
      <c r="DN196" s="256" t="inlineStr">
        <is>
          <t>2</t>
        </is>
      </c>
      <c r="DO196" s="257" t="inlineStr">
        <is>
          <t>3,13%</t>
        </is>
      </c>
      <c r="DP196" s="258" t="inlineStr">
        <is>
          <t>343</t>
        </is>
      </c>
      <c r="DQ196" s="259" t="inlineStr">
        <is>
          <t>0</t>
        </is>
      </c>
      <c r="DR196" s="260" t="inlineStr">
        <is>
          <t>0,00%</t>
        </is>
      </c>
      <c r="DS196" s="261" t="inlineStr">
        <is>
          <t>89</t>
        </is>
      </c>
      <c r="DT196" s="262" t="inlineStr">
        <is>
          <t>-1</t>
        </is>
      </c>
      <c r="DU196" s="263" t="inlineStr">
        <is>
          <t>-1,11%</t>
        </is>
      </c>
      <c r="DV196" s="264" t="inlineStr">
        <is>
          <t>362</t>
        </is>
      </c>
      <c r="DW196" s="265" t="inlineStr">
        <is>
          <t>-1</t>
        </is>
      </c>
      <c r="DX196" s="266" t="inlineStr">
        <is>
          <t>-0,28%</t>
        </is>
      </c>
      <c r="DY196" s="267" t="inlineStr">
        <is>
          <t>PitchBook Research</t>
        </is>
      </c>
      <c r="DZ196" s="786">
        <f>HYPERLINK("https://my.pitchbook.com?c=121394-17", "View company online")</f>
      </c>
    </row>
    <row r="197">
      <c r="A197" s="9" t="inlineStr">
        <is>
          <t>119676-16</t>
        </is>
      </c>
      <c r="B197" s="10" t="inlineStr">
        <is>
          <t>Vashi</t>
        </is>
      </c>
      <c r="C197" s="11" t="inlineStr">
        <is>
          <t/>
        </is>
      </c>
      <c r="D197" s="12" t="inlineStr">
        <is>
          <t/>
        </is>
      </c>
      <c r="E197" s="13" t="inlineStr">
        <is>
          <t>119676-16</t>
        </is>
      </c>
      <c r="F197" s="14" t="inlineStr">
        <is>
          <t>Manufacturer of diamond jewelries in the United Kingdom. The company's diamond jewelries are ethically sourced diamonds with assured provenance, specially handcrafted by British craftsmen, enabling customers to customize their jewelries according to their needs.</t>
        </is>
      </c>
      <c r="G197" s="15" t="inlineStr">
        <is>
          <t>Consumer Products and Services (B2C)</t>
        </is>
      </c>
      <c r="H197" s="16" t="inlineStr">
        <is>
          <t>Apparel and Accessories</t>
        </is>
      </c>
      <c r="I197" s="17" t="inlineStr">
        <is>
          <t>Accessories</t>
        </is>
      </c>
      <c r="J197" s="18" t="inlineStr">
        <is>
          <t>Accessories*; Catalog Retail</t>
        </is>
      </c>
      <c r="K197" s="19" t="inlineStr">
        <is>
          <t>Manufacturing</t>
        </is>
      </c>
      <c r="L197" s="20" t="inlineStr">
        <is>
          <t>Venture Capital-Backed</t>
        </is>
      </c>
      <c r="M197" s="21" t="n">
        <v>4.91</v>
      </c>
      <c r="N197" s="22" t="inlineStr">
        <is>
          <t>Profitable</t>
        </is>
      </c>
      <c r="O197" s="23" t="inlineStr">
        <is>
          <t>Privately Held (backing)</t>
        </is>
      </c>
      <c r="P197" s="24" t="inlineStr">
        <is>
          <t>Venture Capital</t>
        </is>
      </c>
      <c r="Q197" s="25" t="inlineStr">
        <is>
          <t>www.vashi.com</t>
        </is>
      </c>
      <c r="R197" s="26" t="n">
        <v>15.0</v>
      </c>
      <c r="S197" s="27" t="inlineStr">
        <is>
          <t/>
        </is>
      </c>
      <c r="T197" s="28" t="inlineStr">
        <is>
          <t/>
        </is>
      </c>
      <c r="U197" s="29" t="n">
        <v>2007.0</v>
      </c>
      <c r="V197" s="30" t="inlineStr">
        <is>
          <t/>
        </is>
      </c>
      <c r="W197" s="31" t="inlineStr">
        <is>
          <t/>
        </is>
      </c>
      <c r="X197" s="32" t="inlineStr">
        <is>
          <r>
            <rPr>
              <b/>
              <color rgb="ff26854d"/>
              <rFont val="Arial"/>
              <sz val="8.0"/>
            </rPr>
            <t>News</t>
          </r>
          <r>
            <rPr>
              <color rgb="ff707070"/>
              <rFont val="Arial"/>
              <sz val="7.0"/>
            </rPr>
            <t xml:space="preserve"> NEW  </t>
          </r>
        </is>
      </c>
      <c r="Y197" s="33" t="n">
        <v>11.41303</v>
      </c>
      <c r="Z197" s="34" t="inlineStr">
        <is>
          <t/>
        </is>
      </c>
      <c r="AA197" s="35" t="inlineStr">
        <is>
          <t/>
        </is>
      </c>
      <c r="AB197" s="36" t="inlineStr">
        <is>
          <t/>
        </is>
      </c>
      <c r="AC197" s="37" t="inlineStr">
        <is>
          <t/>
        </is>
      </c>
      <c r="AD197" s="38" t="inlineStr">
        <is>
          <t>FY 2013</t>
        </is>
      </c>
      <c r="AE197" s="39" t="inlineStr">
        <is>
          <t>98056-18P</t>
        </is>
      </c>
      <c r="AF197" s="40" t="inlineStr">
        <is>
          <t>Charles Leach</t>
        </is>
      </c>
      <c r="AG197" s="41" t="inlineStr">
        <is>
          <t>Consultant Chief Financial Officer</t>
        </is>
      </c>
      <c r="AH197" s="42" t="inlineStr">
        <is>
          <t>charles@vashi.com</t>
        </is>
      </c>
      <c r="AI197" s="43" t="inlineStr">
        <is>
          <t>+44 (0)80 0520 0541</t>
        </is>
      </c>
      <c r="AJ197" s="44" t="inlineStr">
        <is>
          <t>London, United Kingdom</t>
        </is>
      </c>
      <c r="AK197" s="45" t="inlineStr">
        <is>
          <t>90 Long Acre</t>
        </is>
      </c>
      <c r="AL197" s="46" t="inlineStr">
        <is>
          <t/>
        </is>
      </c>
      <c r="AM197" s="47" t="inlineStr">
        <is>
          <t>London</t>
        </is>
      </c>
      <c r="AN197" s="48" t="inlineStr">
        <is>
          <t>England</t>
        </is>
      </c>
      <c r="AO197" s="49" t="inlineStr">
        <is>
          <t>WC2E 9RZ</t>
        </is>
      </c>
      <c r="AP197" s="50" t="inlineStr">
        <is>
          <t>United Kingdom</t>
        </is>
      </c>
      <c r="AQ197" s="51" t="inlineStr">
        <is>
          <t>+44 (0)80 0520 0541</t>
        </is>
      </c>
      <c r="AR197" s="52" t="inlineStr">
        <is>
          <t/>
        </is>
      </c>
      <c r="AS197" s="53" t="inlineStr">
        <is>
          <t/>
        </is>
      </c>
      <c r="AT197" s="54" t="inlineStr">
        <is>
          <t>Europe</t>
        </is>
      </c>
      <c r="AU197" s="55" t="inlineStr">
        <is>
          <t>Western Europe</t>
        </is>
      </c>
      <c r="AV197" s="56" t="inlineStr">
        <is>
          <t>The company raised GBP 3.3 million of venture funding from Bosham Capital Advisors on February 7, 2017.</t>
        </is>
      </c>
      <c r="AW197" s="57" t="inlineStr">
        <is>
          <t>Bosham Capital Advisors, Q Ventures</t>
        </is>
      </c>
      <c r="AX197" s="58" t="n">
        <v>2.0</v>
      </c>
      <c r="AY197" s="59" t="inlineStr">
        <is>
          <t/>
        </is>
      </c>
      <c r="AZ197" s="60" t="inlineStr">
        <is>
          <t/>
        </is>
      </c>
      <c r="BA197" s="61" t="inlineStr">
        <is>
          <t/>
        </is>
      </c>
      <c r="BB197" s="62" t="inlineStr">
        <is>
          <t>Bosham Capital Advisors (www.boshamcapitaladvisors.com), Q Ventures (www.qventures.co)</t>
        </is>
      </c>
      <c r="BC197" s="63" t="inlineStr">
        <is>
          <t/>
        </is>
      </c>
      <c r="BD197" s="64" t="inlineStr">
        <is>
          <t/>
        </is>
      </c>
      <c r="BE197" s="65" t="inlineStr">
        <is>
          <t>Lloyds Bank Commercial Banking (General Business Banking), Onside Law (Legal Advisor)</t>
        </is>
      </c>
      <c r="BF197" s="66" t="inlineStr">
        <is>
          <t>VentureFounders (Lead Manager or Arranger)</t>
        </is>
      </c>
      <c r="BG197" s="67" t="n">
        <v>41911.0</v>
      </c>
      <c r="BH197" s="68" t="n">
        <v>0.19</v>
      </c>
      <c r="BI197" s="69" t="inlineStr">
        <is>
          <t>Actual</t>
        </is>
      </c>
      <c r="BJ197" s="70" t="n">
        <v>11.53</v>
      </c>
      <c r="BK197" s="71" t="inlineStr">
        <is>
          <t>Actual</t>
        </is>
      </c>
      <c r="BL197" s="72" t="inlineStr">
        <is>
          <t>Angel (individual)</t>
        </is>
      </c>
      <c r="BM197" s="73" t="inlineStr">
        <is>
          <t>Angel</t>
        </is>
      </c>
      <c r="BN197" s="74" t="inlineStr">
        <is>
          <t/>
        </is>
      </c>
      <c r="BO197" s="75" t="inlineStr">
        <is>
          <t>Individual</t>
        </is>
      </c>
      <c r="BP197" s="76" t="inlineStr">
        <is>
          <t/>
        </is>
      </c>
      <c r="BQ197" s="77" t="inlineStr">
        <is>
          <t/>
        </is>
      </c>
      <c r="BR197" s="78" t="inlineStr">
        <is>
          <t/>
        </is>
      </c>
      <c r="BS197" s="79" t="inlineStr">
        <is>
          <t>Completed</t>
        </is>
      </c>
      <c r="BT197" s="80" t="n">
        <v>42835.0</v>
      </c>
      <c r="BU197" s="81" t="inlineStr">
        <is>
          <t/>
        </is>
      </c>
      <c r="BV197" s="82" t="inlineStr">
        <is>
          <t/>
        </is>
      </c>
      <c r="BW197" s="83" t="inlineStr">
        <is>
          <t/>
        </is>
      </c>
      <c r="BX197" s="84" t="inlineStr">
        <is>
          <t/>
        </is>
      </c>
      <c r="BY197" s="85" t="inlineStr">
        <is>
          <t>Later Stage VC</t>
        </is>
      </c>
      <c r="BZ197" s="86" t="inlineStr">
        <is>
          <t/>
        </is>
      </c>
      <c r="CA197" s="87" t="inlineStr">
        <is>
          <t/>
        </is>
      </c>
      <c r="CB197" s="88" t="inlineStr">
        <is>
          <t>Venture Capital</t>
        </is>
      </c>
      <c r="CC197" s="89" t="inlineStr">
        <is>
          <t/>
        </is>
      </c>
      <c r="CD197" s="90" t="inlineStr">
        <is>
          <t/>
        </is>
      </c>
      <c r="CE197" s="91" t="inlineStr">
        <is>
          <t/>
        </is>
      </c>
      <c r="CF197" s="92" t="inlineStr">
        <is>
          <t>Completed</t>
        </is>
      </c>
      <c r="CG197" s="93" t="inlineStr">
        <is>
          <t>-5,04%</t>
        </is>
      </c>
      <c r="CH197" s="94" t="inlineStr">
        <is>
          <t>4</t>
        </is>
      </c>
      <c r="CI197" s="95" t="inlineStr">
        <is>
          <t>-0,01%</t>
        </is>
      </c>
      <c r="CJ197" s="96" t="inlineStr">
        <is>
          <t>-0,20%</t>
        </is>
      </c>
      <c r="CK197" s="97" t="inlineStr">
        <is>
          <t>-9,48%</t>
        </is>
      </c>
      <c r="CL197" s="98" t="inlineStr">
        <is>
          <t>4</t>
        </is>
      </c>
      <c r="CM197" s="99" t="inlineStr">
        <is>
          <t>-0,59%</t>
        </is>
      </c>
      <c r="CN197" s="100" t="inlineStr">
        <is>
          <t>1</t>
        </is>
      </c>
      <c r="CO197" s="101" t="inlineStr">
        <is>
          <t>-19,65%</t>
        </is>
      </c>
      <c r="CP197" s="102" t="inlineStr">
        <is>
          <t>5</t>
        </is>
      </c>
      <c r="CQ197" s="103" t="inlineStr">
        <is>
          <t>0,68%</t>
        </is>
      </c>
      <c r="CR197" s="104" t="inlineStr">
        <is>
          <t>92</t>
        </is>
      </c>
      <c r="CS197" s="105" t="inlineStr">
        <is>
          <t/>
        </is>
      </c>
      <c r="CT197" s="106" t="inlineStr">
        <is>
          <t/>
        </is>
      </c>
      <c r="CU197" s="107" t="inlineStr">
        <is>
          <t>-0,59%</t>
        </is>
      </c>
      <c r="CV197" s="108" t="inlineStr">
        <is>
          <t>1</t>
        </is>
      </c>
      <c r="CW197" s="109" t="inlineStr">
        <is>
          <t>20,00x</t>
        </is>
      </c>
      <c r="CX197" s="110" t="inlineStr">
        <is>
          <t>93</t>
        </is>
      </c>
      <c r="CY197" s="111" t="inlineStr">
        <is>
          <t>-0,22x</t>
        </is>
      </c>
      <c r="CZ197" s="112" t="inlineStr">
        <is>
          <t>-1,08%</t>
        </is>
      </c>
      <c r="DA197" s="113" t="inlineStr">
        <is>
          <t>15,74x</t>
        </is>
      </c>
      <c r="DB197" s="114" t="inlineStr">
        <is>
          <t>93</t>
        </is>
      </c>
      <c r="DC197" s="115" t="inlineStr">
        <is>
          <t>24,26x</t>
        </is>
      </c>
      <c r="DD197" s="116" t="inlineStr">
        <is>
          <t>91</t>
        </is>
      </c>
      <c r="DE197" s="117" t="inlineStr">
        <is>
          <t>1,57x</t>
        </is>
      </c>
      <c r="DF197" s="118" t="inlineStr">
        <is>
          <t>61</t>
        </is>
      </c>
      <c r="DG197" s="119" t="inlineStr">
        <is>
          <t>29,92x</t>
        </is>
      </c>
      <c r="DH197" s="120" t="inlineStr">
        <is>
          <t>95</t>
        </is>
      </c>
      <c r="DI197" s="121" t="inlineStr">
        <is>
          <t/>
        </is>
      </c>
      <c r="DJ197" s="122" t="inlineStr">
        <is>
          <t/>
        </is>
      </c>
      <c r="DK197" s="123" t="inlineStr">
        <is>
          <t>24,26x</t>
        </is>
      </c>
      <c r="DL197" s="124" t="inlineStr">
        <is>
          <t>93</t>
        </is>
      </c>
      <c r="DM197" s="125" t="inlineStr">
        <is>
          <t>574</t>
        </is>
      </c>
      <c r="DN197" s="126" t="inlineStr">
        <is>
          <t>43</t>
        </is>
      </c>
      <c r="DO197" s="127" t="inlineStr">
        <is>
          <t>8,10%</t>
        </is>
      </c>
      <c r="DP197" s="128" t="inlineStr">
        <is>
          <t>3.310</t>
        </is>
      </c>
      <c r="DQ197" s="129" t="inlineStr">
        <is>
          <t>0</t>
        </is>
      </c>
      <c r="DR197" s="130" t="inlineStr">
        <is>
          <t>0,00%</t>
        </is>
      </c>
      <c r="DS197" s="131" t="inlineStr">
        <is>
          <t>1.080</t>
        </is>
      </c>
      <c r="DT197" s="132" t="inlineStr">
        <is>
          <t>-1</t>
        </is>
      </c>
      <c r="DU197" s="133" t="inlineStr">
        <is>
          <t>-0,09%</t>
        </is>
      </c>
      <c r="DV197" s="134" t="inlineStr">
        <is>
          <t>9.085</t>
        </is>
      </c>
      <c r="DW197" s="135" t="inlineStr">
        <is>
          <t>-16</t>
        </is>
      </c>
      <c r="DX197" s="136" t="inlineStr">
        <is>
          <t>-0,18%</t>
        </is>
      </c>
      <c r="DY197" s="137" t="inlineStr">
        <is>
          <t>PitchBook Research</t>
        </is>
      </c>
      <c r="DZ197" s="785">
        <f>HYPERLINK("https://my.pitchbook.com?c=119676-16", "View company online")</f>
      </c>
    </row>
    <row r="198">
      <c r="A198" s="139" t="inlineStr">
        <is>
          <t>56232-73</t>
        </is>
      </c>
      <c r="B198" s="140" t="inlineStr">
        <is>
          <t>AppGyver</t>
        </is>
      </c>
      <c r="C198" s="141" t="inlineStr">
        <is>
          <t/>
        </is>
      </c>
      <c r="D198" s="142" t="inlineStr">
        <is>
          <t/>
        </is>
      </c>
      <c r="E198" s="143" t="inlineStr">
        <is>
          <t>56232-73</t>
        </is>
      </c>
      <c r="F198" s="144" t="inlineStr">
        <is>
          <t>Provider of a mobile application development platform. The company develops a digital platform for building and testing hybrid applications for iOS and Android.</t>
        </is>
      </c>
      <c r="G198" s="145" t="inlineStr">
        <is>
          <t>Information Technology</t>
        </is>
      </c>
      <c r="H198" s="146" t="inlineStr">
        <is>
          <t>Software</t>
        </is>
      </c>
      <c r="I198" s="147" t="inlineStr">
        <is>
          <t>Software Development Applications</t>
        </is>
      </c>
      <c r="J198" s="148" t="inlineStr">
        <is>
          <t>Software Development Applications*; Other Software</t>
        </is>
      </c>
      <c r="K198" s="149" t="inlineStr">
        <is>
          <t>Mobile</t>
        </is>
      </c>
      <c r="L198" s="150" t="inlineStr">
        <is>
          <t>Venture Capital-Backed</t>
        </is>
      </c>
      <c r="M198" s="151" t="n">
        <v>4.77</v>
      </c>
      <c r="N198" s="152" t="inlineStr">
        <is>
          <t>Generating Revenue</t>
        </is>
      </c>
      <c r="O198" s="153" t="inlineStr">
        <is>
          <t>Privately Held (backing)</t>
        </is>
      </c>
      <c r="P198" s="154" t="inlineStr">
        <is>
          <t>Venture Capital</t>
        </is>
      </c>
      <c r="Q198" s="155" t="inlineStr">
        <is>
          <t>www.appgyver.com</t>
        </is>
      </c>
      <c r="R198" s="156" t="n">
        <v>23.0</v>
      </c>
      <c r="S198" s="157" t="inlineStr">
        <is>
          <t/>
        </is>
      </c>
      <c r="T198" s="158" t="inlineStr">
        <is>
          <t/>
        </is>
      </c>
      <c r="U198" s="159" t="n">
        <v>2010.0</v>
      </c>
      <c r="V198" s="160" t="inlineStr">
        <is>
          <t/>
        </is>
      </c>
      <c r="W198" s="161" t="inlineStr">
        <is>
          <t/>
        </is>
      </c>
      <c r="X198" s="162" t="inlineStr">
        <is>
          <t/>
        </is>
      </c>
      <c r="Y198" s="163" t="n">
        <v>0.06431</v>
      </c>
      <c r="Z198" s="164" t="inlineStr">
        <is>
          <t/>
        </is>
      </c>
      <c r="AA198" s="165" t="n">
        <v>-0.99223</v>
      </c>
      <c r="AB198" s="166" t="inlineStr">
        <is>
          <t/>
        </is>
      </c>
      <c r="AC198" s="167" t="n">
        <v>-0.99223</v>
      </c>
      <c r="AD198" s="168" t="inlineStr">
        <is>
          <t>FY 2015</t>
        </is>
      </c>
      <c r="AE198" s="169" t="inlineStr">
        <is>
          <t>47377-36P</t>
        </is>
      </c>
      <c r="AF198" s="170" t="inlineStr">
        <is>
          <t>Marko Lehtimaki</t>
        </is>
      </c>
      <c r="AG198" s="171" t="inlineStr">
        <is>
          <t>Co-Founder, Chief Executive Officer and Board Member</t>
        </is>
      </c>
      <c r="AH198" s="172" t="inlineStr">
        <is>
          <t>marko.lehtimaki@appgyver.com</t>
        </is>
      </c>
      <c r="AI198" s="173" t="inlineStr">
        <is>
          <t/>
        </is>
      </c>
      <c r="AJ198" s="174" t="inlineStr">
        <is>
          <t>Helsinki, Finland</t>
        </is>
      </c>
      <c r="AK198" s="175" t="inlineStr">
        <is>
          <t>Merimiehenkatu 36 D 205</t>
        </is>
      </c>
      <c r="AL198" s="176" t="inlineStr">
        <is>
          <t/>
        </is>
      </c>
      <c r="AM198" s="177" t="inlineStr">
        <is>
          <t>Helsinki</t>
        </is>
      </c>
      <c r="AN198" s="178" t="inlineStr">
        <is>
          <t/>
        </is>
      </c>
      <c r="AO198" s="179" t="inlineStr">
        <is>
          <t>00150</t>
        </is>
      </c>
      <c r="AP198" s="180" t="inlineStr">
        <is>
          <t>Finland</t>
        </is>
      </c>
      <c r="AQ198" s="181" t="inlineStr">
        <is>
          <t/>
        </is>
      </c>
      <c r="AR198" s="182" t="inlineStr">
        <is>
          <t/>
        </is>
      </c>
      <c r="AS198" s="183" t="inlineStr">
        <is>
          <t>contact@appgyver.com</t>
        </is>
      </c>
      <c r="AT198" s="184" t="inlineStr">
        <is>
          <t>Europe</t>
        </is>
      </c>
      <c r="AU198" s="185" t="inlineStr">
        <is>
          <t>Northern Europe</t>
        </is>
      </c>
      <c r="AV198" s="186" t="inlineStr">
        <is>
          <t>The company raised $2 million of venture funding from Karma Ventures and other undisclosed investors on January 6, 2017.</t>
        </is>
      </c>
      <c r="AW198" s="187" t="inlineStr">
        <is>
          <t>Initial Capital, Karma Ventures, Keksintösäätiö, Open Ocean Partners, Tekes</t>
        </is>
      </c>
      <c r="AX198" s="188" t="n">
        <v>5.0</v>
      </c>
      <c r="AY198" s="189" t="inlineStr">
        <is>
          <t/>
        </is>
      </c>
      <c r="AZ198" s="190" t="inlineStr">
        <is>
          <t/>
        </is>
      </c>
      <c r="BA198" s="191" t="inlineStr">
        <is>
          <t/>
        </is>
      </c>
      <c r="BB198" s="192" t="inlineStr">
        <is>
          <t>Initial Capital (www.initialcapital.com), Karma Ventures (www.karma.vc), Keksintösäätiö (www.keksintosaatio.fi), Open Ocean Partners (www.openocean.vc), Tekes (www.tekes.fi)</t>
        </is>
      </c>
      <c r="BC198" s="193" t="inlineStr">
        <is>
          <t/>
        </is>
      </c>
      <c r="BD198" s="194" t="inlineStr">
        <is>
          <t/>
        </is>
      </c>
      <c r="BE198" s="195" t="inlineStr">
        <is>
          <t/>
        </is>
      </c>
      <c r="BF198" s="196" t="inlineStr">
        <is>
          <t/>
        </is>
      </c>
      <c r="BG198" s="197" t="n">
        <v>41120.0</v>
      </c>
      <c r="BH198" s="198" t="n">
        <v>1.08</v>
      </c>
      <c r="BI198" s="199" t="inlineStr">
        <is>
          <t>Actual</t>
        </is>
      </c>
      <c r="BJ198" s="200" t="inlineStr">
        <is>
          <t/>
        </is>
      </c>
      <c r="BK198" s="201" t="inlineStr">
        <is>
          <t/>
        </is>
      </c>
      <c r="BL198" s="202" t="inlineStr">
        <is>
          <t>Seed Round</t>
        </is>
      </c>
      <c r="BM198" s="203" t="inlineStr">
        <is>
          <t>Seed</t>
        </is>
      </c>
      <c r="BN198" s="204" t="inlineStr">
        <is>
          <t/>
        </is>
      </c>
      <c r="BO198" s="205" t="inlineStr">
        <is>
          <t>Venture Capital</t>
        </is>
      </c>
      <c r="BP198" s="206" t="inlineStr">
        <is>
          <t/>
        </is>
      </c>
      <c r="BQ198" s="207" t="inlineStr">
        <is>
          <t/>
        </is>
      </c>
      <c r="BR198" s="208" t="inlineStr">
        <is>
          <t/>
        </is>
      </c>
      <c r="BS198" s="209" t="inlineStr">
        <is>
          <t>Completed</t>
        </is>
      </c>
      <c r="BT198" s="210" t="n">
        <v>42741.0</v>
      </c>
      <c r="BU198" s="211" t="n">
        <v>1.88</v>
      </c>
      <c r="BV198" s="212" t="inlineStr">
        <is>
          <t>Actual</t>
        </is>
      </c>
      <c r="BW198" s="213" t="inlineStr">
        <is>
          <t/>
        </is>
      </c>
      <c r="BX198" s="214" t="inlineStr">
        <is>
          <t/>
        </is>
      </c>
      <c r="BY198" s="215" t="inlineStr">
        <is>
          <t>Later Stage VC</t>
        </is>
      </c>
      <c r="BZ198" s="216" t="inlineStr">
        <is>
          <t/>
        </is>
      </c>
      <c r="CA198" s="217" t="inlineStr">
        <is>
          <t/>
        </is>
      </c>
      <c r="CB198" s="218" t="inlineStr">
        <is>
          <t>Venture Capital</t>
        </is>
      </c>
      <c r="CC198" s="219" t="inlineStr">
        <is>
          <t/>
        </is>
      </c>
      <c r="CD198" s="220" t="inlineStr">
        <is>
          <t/>
        </is>
      </c>
      <c r="CE198" s="221" t="inlineStr">
        <is>
          <t/>
        </is>
      </c>
      <c r="CF198" s="222" t="inlineStr">
        <is>
          <t>Completed</t>
        </is>
      </c>
      <c r="CG198" s="223" t="inlineStr">
        <is>
          <t>-1,45%</t>
        </is>
      </c>
      <c r="CH198" s="224" t="inlineStr">
        <is>
          <t>12</t>
        </is>
      </c>
      <c r="CI198" s="225" t="inlineStr">
        <is>
          <t>-0,05%</t>
        </is>
      </c>
      <c r="CJ198" s="226" t="inlineStr">
        <is>
          <t>-3,40%</t>
        </is>
      </c>
      <c r="CK198" s="227" t="inlineStr">
        <is>
          <t>-2,90%</t>
        </is>
      </c>
      <c r="CL198" s="228" t="inlineStr">
        <is>
          <t>12</t>
        </is>
      </c>
      <c r="CM198" s="229" t="inlineStr">
        <is>
          <t>0,00%</t>
        </is>
      </c>
      <c r="CN198" s="230" t="inlineStr">
        <is>
          <t>20</t>
        </is>
      </c>
      <c r="CO198" s="231" t="inlineStr">
        <is>
          <t>-4,28%</t>
        </is>
      </c>
      <c r="CP198" s="232" t="inlineStr">
        <is>
          <t>23</t>
        </is>
      </c>
      <c r="CQ198" s="233" t="inlineStr">
        <is>
          <t>-1,52%</t>
        </is>
      </c>
      <c r="CR198" s="234" t="inlineStr">
        <is>
          <t>5</t>
        </is>
      </c>
      <c r="CS198" s="235" t="inlineStr">
        <is>
          <t>-0,01%</t>
        </is>
      </c>
      <c r="CT198" s="236" t="inlineStr">
        <is>
          <t>16</t>
        </is>
      </c>
      <c r="CU198" s="237" t="inlineStr">
        <is>
          <t>0,00%</t>
        </is>
      </c>
      <c r="CV198" s="238" t="inlineStr">
        <is>
          <t>21</t>
        </is>
      </c>
      <c r="CW198" s="239" t="inlineStr">
        <is>
          <t>8,40x</t>
        </is>
      </c>
      <c r="CX198" s="240" t="inlineStr">
        <is>
          <t>86</t>
        </is>
      </c>
      <c r="CY198" s="241" t="inlineStr">
        <is>
          <t>-0,12x</t>
        </is>
      </c>
      <c r="CZ198" s="242" t="inlineStr">
        <is>
          <t>-1,42%</t>
        </is>
      </c>
      <c r="DA198" s="243" t="inlineStr">
        <is>
          <t>11,20x</t>
        </is>
      </c>
      <c r="DB198" s="244" t="inlineStr">
        <is>
          <t>90</t>
        </is>
      </c>
      <c r="DC198" s="245" t="inlineStr">
        <is>
          <t>5,60x</t>
        </is>
      </c>
      <c r="DD198" s="246" t="inlineStr">
        <is>
          <t>78</t>
        </is>
      </c>
      <c r="DE198" s="247" t="inlineStr">
        <is>
          <t>1,43x</t>
        </is>
      </c>
      <c r="DF198" s="248" t="inlineStr">
        <is>
          <t>59</t>
        </is>
      </c>
      <c r="DG198" s="249" t="inlineStr">
        <is>
          <t>20,97x</t>
        </is>
      </c>
      <c r="DH198" s="250" t="inlineStr">
        <is>
          <t>93</t>
        </is>
      </c>
      <c r="DI198" s="251" t="inlineStr">
        <is>
          <t>2,69x</t>
        </is>
      </c>
      <c r="DJ198" s="252" t="inlineStr">
        <is>
          <t>66</t>
        </is>
      </c>
      <c r="DK198" s="253" t="inlineStr">
        <is>
          <t>8,51x</t>
        </is>
      </c>
      <c r="DL198" s="254" t="inlineStr">
        <is>
          <t>85</t>
        </is>
      </c>
      <c r="DM198" s="255" t="inlineStr">
        <is>
          <t>545</t>
        </is>
      </c>
      <c r="DN198" s="256" t="inlineStr">
        <is>
          <t>-69</t>
        </is>
      </c>
      <c r="DO198" s="257" t="inlineStr">
        <is>
          <t>-11,24%</t>
        </is>
      </c>
      <c r="DP198" s="258" t="inlineStr">
        <is>
          <t>2.127</t>
        </is>
      </c>
      <c r="DQ198" s="259" t="inlineStr">
        <is>
          <t>-2</t>
        </is>
      </c>
      <c r="DR198" s="260" t="inlineStr">
        <is>
          <t>-0,09%</t>
        </is>
      </c>
      <c r="DS198" s="261" t="inlineStr">
        <is>
          <t>760</t>
        </is>
      </c>
      <c r="DT198" s="262" t="inlineStr">
        <is>
          <t>-13</t>
        </is>
      </c>
      <c r="DU198" s="263" t="inlineStr">
        <is>
          <t>-1,68%</t>
        </is>
      </c>
      <c r="DV198" s="264" t="inlineStr">
        <is>
          <t>3.183</t>
        </is>
      </c>
      <c r="DW198" s="265" t="inlineStr">
        <is>
          <t>-2</t>
        </is>
      </c>
      <c r="DX198" s="266" t="inlineStr">
        <is>
          <t>-0,06%</t>
        </is>
      </c>
      <c r="DY198" s="267" t="inlineStr">
        <is>
          <t>PitchBook Research</t>
        </is>
      </c>
      <c r="DZ198" s="786">
        <f>HYPERLINK("https://my.pitchbook.com?c=56232-73", "View company online")</f>
      </c>
    </row>
    <row r="199">
      <c r="A199" s="9" t="inlineStr">
        <is>
          <t>175368-97</t>
        </is>
      </c>
      <c r="B199" s="10" t="inlineStr">
        <is>
          <t>Sparklane</t>
        </is>
      </c>
      <c r="C199" s="11" t="inlineStr">
        <is>
          <t>Zebaz Smart Data</t>
        </is>
      </c>
      <c r="D199" s="12" t="inlineStr">
        <is>
          <t/>
        </is>
      </c>
      <c r="E199" s="13" t="inlineStr">
        <is>
          <t>175368-97</t>
        </is>
      </c>
      <c r="F199" s="14" t="inlineStr">
        <is>
          <t>Developer of an Artificial Intelligence-based SaaS platform created to steer businesses towards the best business opportunities. The company's Artificial Intelligence-based SaaS platform identifies sales and marketing potential market and increases responsiveness by focusing on prospects with higher potential, enabling businesses to increase revenue and efficiency. Previously, the company operated as Zebaz, an online participative directory of professional contacts where businesses received access to more than 1 million companies and 1.8 million executives in France.</t>
        </is>
      </c>
      <c r="G199" s="15" t="inlineStr">
        <is>
          <t>Business Products and Services (B2B)</t>
        </is>
      </c>
      <c r="H199" s="16" t="inlineStr">
        <is>
          <t>Commercial Products</t>
        </is>
      </c>
      <c r="I199" s="17" t="inlineStr">
        <is>
          <t>Other Commercial Products</t>
        </is>
      </c>
      <c r="J199" s="18" t="inlineStr">
        <is>
          <t>Other Commercial Products*; Business/Productivity Software</t>
        </is>
      </c>
      <c r="K199" s="19" t="inlineStr">
        <is>
          <t>Artificial Intelligence &amp; Machine Learning, Big Data, SaaS</t>
        </is>
      </c>
      <c r="L199" s="20" t="inlineStr">
        <is>
          <t>Venture Capital-Backed</t>
        </is>
      </c>
      <c r="M199" s="21" t="n">
        <v>4.7</v>
      </c>
      <c r="N199" s="22" t="inlineStr">
        <is>
          <t>Generating Revenue</t>
        </is>
      </c>
      <c r="O199" s="23" t="inlineStr">
        <is>
          <t>Privately Held (backing)</t>
        </is>
      </c>
      <c r="P199" s="24" t="inlineStr">
        <is>
          <t>Venture Capital</t>
        </is>
      </c>
      <c r="Q199" s="25" t="inlineStr">
        <is>
          <t>www.sparklane-group.com</t>
        </is>
      </c>
      <c r="R199" s="26" t="inlineStr">
        <is>
          <t/>
        </is>
      </c>
      <c r="S199" s="27" t="inlineStr">
        <is>
          <t/>
        </is>
      </c>
      <c r="T199" s="28" t="inlineStr">
        <is>
          <t/>
        </is>
      </c>
      <c r="U199" s="29" t="n">
        <v>2009.0</v>
      </c>
      <c r="V199" s="30" t="inlineStr">
        <is>
          <t/>
        </is>
      </c>
      <c r="W199" s="31" t="inlineStr">
        <is>
          <t/>
        </is>
      </c>
      <c r="X199" s="32" t="inlineStr">
        <is>
          <t/>
        </is>
      </c>
      <c r="Y199" s="33" t="n">
        <v>8.39502</v>
      </c>
      <c r="Z199" s="34" t="inlineStr">
        <is>
          <t/>
        </is>
      </c>
      <c r="AA199" s="35" t="inlineStr">
        <is>
          <t/>
        </is>
      </c>
      <c r="AB199" s="36" t="inlineStr">
        <is>
          <t/>
        </is>
      </c>
      <c r="AC199" s="37" t="inlineStr">
        <is>
          <t/>
        </is>
      </c>
      <c r="AD199" s="38" t="inlineStr">
        <is>
          <t>FY 2016</t>
        </is>
      </c>
      <c r="AE199" s="39" t="inlineStr">
        <is>
          <t>167593-42P</t>
        </is>
      </c>
      <c r="AF199" s="40" t="inlineStr">
        <is>
          <t>Benjamin Brousse</t>
        </is>
      </c>
      <c r="AG199" s="41" t="inlineStr">
        <is>
          <t>Chief Operating Officer</t>
        </is>
      </c>
      <c r="AH199" s="42" t="inlineStr">
        <is>
          <t/>
        </is>
      </c>
      <c r="AI199" s="43" t="inlineStr">
        <is>
          <t>+33 (0)2 72 64 11 11</t>
        </is>
      </c>
      <c r="AJ199" s="44" t="inlineStr">
        <is>
          <t>Paris, France</t>
        </is>
      </c>
      <c r="AK199" s="45" t="inlineStr">
        <is>
          <t>4 Avenue Jules Janin</t>
        </is>
      </c>
      <c r="AL199" s="46" t="inlineStr">
        <is>
          <t/>
        </is>
      </c>
      <c r="AM199" s="47" t="inlineStr">
        <is>
          <t>Paris</t>
        </is>
      </c>
      <c r="AN199" s="48" t="inlineStr">
        <is>
          <t/>
        </is>
      </c>
      <c r="AO199" s="49" t="inlineStr">
        <is>
          <t>75116</t>
        </is>
      </c>
      <c r="AP199" s="50" t="inlineStr">
        <is>
          <t>France</t>
        </is>
      </c>
      <c r="AQ199" s="51" t="inlineStr">
        <is>
          <t>+33 (0)2 72 64 11 11</t>
        </is>
      </c>
      <c r="AR199" s="52" t="inlineStr">
        <is>
          <t/>
        </is>
      </c>
      <c r="AS199" s="53" t="inlineStr">
        <is>
          <t/>
        </is>
      </c>
      <c r="AT199" s="54" t="inlineStr">
        <is>
          <t>Europe</t>
        </is>
      </c>
      <c r="AU199" s="55" t="inlineStr">
        <is>
          <t>Western Europe</t>
        </is>
      </c>
      <c r="AV199" s="56" t="inlineStr">
        <is>
          <t>The company raised EUR 4 million of venture funding from XAnge Private Equity and Entrepreneur Venture on April 4, 2017. The company has raised EUR 7 million to date. The funds will be used to continue investments in Artificial Intelligence, strengthen sales as well as R&amp;D teams, continue growth in established countries and expand its European expansion.</t>
        </is>
      </c>
      <c r="AW199" s="57" t="inlineStr">
        <is>
          <t>Entrepreneur Venture, Siparex Group, XAnge Private Equity</t>
        </is>
      </c>
      <c r="AX199" s="58" t="n">
        <v>3.0</v>
      </c>
      <c r="AY199" s="59" t="inlineStr">
        <is>
          <t/>
        </is>
      </c>
      <c r="AZ199" s="60" t="inlineStr">
        <is>
          <t/>
        </is>
      </c>
      <c r="BA199" s="61" t="inlineStr">
        <is>
          <t/>
        </is>
      </c>
      <c r="BB199" s="62" t="inlineStr">
        <is>
          <t>Entrepreneur Venture (www.entrepreneurventure.com), Siparex Group (www.siparex.com), XAnge Private Equity (www.xange.fr)</t>
        </is>
      </c>
      <c r="BC199" s="63" t="inlineStr">
        <is>
          <t/>
        </is>
      </c>
      <c r="BD199" s="64" t="inlineStr">
        <is>
          <t/>
        </is>
      </c>
      <c r="BE199" s="65" t="inlineStr">
        <is>
          <t/>
        </is>
      </c>
      <c r="BF199" s="66" t="inlineStr">
        <is>
          <t>Pinot de Villechenon &amp; Associés (Legal Advisor)</t>
        </is>
      </c>
      <c r="BG199" s="67" t="n">
        <v>40910.0</v>
      </c>
      <c r="BH199" s="68" t="n">
        <v>0.7</v>
      </c>
      <c r="BI199" s="69" t="inlineStr">
        <is>
          <t>Actual</t>
        </is>
      </c>
      <c r="BJ199" s="70" t="inlineStr">
        <is>
          <t/>
        </is>
      </c>
      <c r="BK199" s="71" t="inlineStr">
        <is>
          <t/>
        </is>
      </c>
      <c r="BL199" s="72" t="inlineStr">
        <is>
          <t>Early Stage VC</t>
        </is>
      </c>
      <c r="BM199" s="73" t="inlineStr">
        <is>
          <t/>
        </is>
      </c>
      <c r="BN199" s="74" t="inlineStr">
        <is>
          <t/>
        </is>
      </c>
      <c r="BO199" s="75" t="inlineStr">
        <is>
          <t>Venture Capital</t>
        </is>
      </c>
      <c r="BP199" s="76" t="inlineStr">
        <is>
          <t/>
        </is>
      </c>
      <c r="BQ199" s="77" t="inlineStr">
        <is>
          <t/>
        </is>
      </c>
      <c r="BR199" s="78" t="inlineStr">
        <is>
          <t/>
        </is>
      </c>
      <c r="BS199" s="79" t="inlineStr">
        <is>
          <t>Completed</t>
        </is>
      </c>
      <c r="BT199" s="80" t="n">
        <v>42829.0</v>
      </c>
      <c r="BU199" s="81" t="n">
        <v>4.0</v>
      </c>
      <c r="BV199" s="82" t="inlineStr">
        <is>
          <t>Actual</t>
        </is>
      </c>
      <c r="BW199" s="83" t="inlineStr">
        <is>
          <t/>
        </is>
      </c>
      <c r="BX199" s="84" t="inlineStr">
        <is>
          <t/>
        </is>
      </c>
      <c r="BY199" s="85" t="inlineStr">
        <is>
          <t>Later Stage VC</t>
        </is>
      </c>
      <c r="BZ199" s="86" t="inlineStr">
        <is>
          <t/>
        </is>
      </c>
      <c r="CA199" s="87" t="inlineStr">
        <is>
          <t/>
        </is>
      </c>
      <c r="CB199" s="88" t="inlineStr">
        <is>
          <t>Venture Capital</t>
        </is>
      </c>
      <c r="CC199" s="89" t="inlineStr">
        <is>
          <t/>
        </is>
      </c>
      <c r="CD199" s="90" t="inlineStr">
        <is>
          <t/>
        </is>
      </c>
      <c r="CE199" s="91" t="inlineStr">
        <is>
          <t/>
        </is>
      </c>
      <c r="CF199" s="92" t="inlineStr">
        <is>
          <t>Completed</t>
        </is>
      </c>
      <c r="CG199" s="93" t="inlineStr">
        <is>
          <t>-3,49%</t>
        </is>
      </c>
      <c r="CH199" s="94" t="inlineStr">
        <is>
          <t>6</t>
        </is>
      </c>
      <c r="CI199" s="95" t="inlineStr">
        <is>
          <t>-0,22%</t>
        </is>
      </c>
      <c r="CJ199" s="96" t="inlineStr">
        <is>
          <t>-6,60%</t>
        </is>
      </c>
      <c r="CK199" s="97" t="inlineStr">
        <is>
          <t>-7,03%</t>
        </is>
      </c>
      <c r="CL199" s="98" t="inlineStr">
        <is>
          <t>5</t>
        </is>
      </c>
      <c r="CM199" s="99" t="inlineStr">
        <is>
          <t>0,05%</t>
        </is>
      </c>
      <c r="CN199" s="100" t="inlineStr">
        <is>
          <t>49</t>
        </is>
      </c>
      <c r="CO199" s="101" t="inlineStr">
        <is>
          <t>-13,49%</t>
        </is>
      </c>
      <c r="CP199" s="102" t="inlineStr">
        <is>
          <t>9</t>
        </is>
      </c>
      <c r="CQ199" s="103" t="inlineStr">
        <is>
          <t>-0,57%</t>
        </is>
      </c>
      <c r="CR199" s="104" t="inlineStr">
        <is>
          <t>15</t>
        </is>
      </c>
      <c r="CS199" s="105" t="inlineStr">
        <is>
          <t/>
        </is>
      </c>
      <c r="CT199" s="106" t="inlineStr">
        <is>
          <t/>
        </is>
      </c>
      <c r="CU199" s="107" t="inlineStr">
        <is>
          <t>0,05%</t>
        </is>
      </c>
      <c r="CV199" s="108" t="inlineStr">
        <is>
          <t>59</t>
        </is>
      </c>
      <c r="CW199" s="109" t="inlineStr">
        <is>
          <t>11,19x</t>
        </is>
      </c>
      <c r="CX199" s="110" t="inlineStr">
        <is>
          <t>89</t>
        </is>
      </c>
      <c r="CY199" s="111" t="inlineStr">
        <is>
          <t>-0,47x</t>
        </is>
      </c>
      <c r="CZ199" s="112" t="inlineStr">
        <is>
          <t>-4,05%</t>
        </is>
      </c>
      <c r="DA199" s="113" t="inlineStr">
        <is>
          <t>8,31x</t>
        </is>
      </c>
      <c r="DB199" s="114" t="inlineStr">
        <is>
          <t>87</t>
        </is>
      </c>
      <c r="DC199" s="115" t="inlineStr">
        <is>
          <t>14,07x</t>
        </is>
      </c>
      <c r="DD199" s="116" t="inlineStr">
        <is>
          <t>87</t>
        </is>
      </c>
      <c r="DE199" s="117" t="inlineStr">
        <is>
          <t>1,26x</t>
        </is>
      </c>
      <c r="DF199" s="118" t="inlineStr">
        <is>
          <t>56</t>
        </is>
      </c>
      <c r="DG199" s="119" t="inlineStr">
        <is>
          <t>15,36x</t>
        </is>
      </c>
      <c r="DH199" s="120" t="inlineStr">
        <is>
          <t>91</t>
        </is>
      </c>
      <c r="DI199" s="121" t="inlineStr">
        <is>
          <t/>
        </is>
      </c>
      <c r="DJ199" s="122" t="inlineStr">
        <is>
          <t/>
        </is>
      </c>
      <c r="DK199" s="123" t="inlineStr">
        <is>
          <t>14,07x</t>
        </is>
      </c>
      <c r="DL199" s="124" t="inlineStr">
        <is>
          <t>90</t>
        </is>
      </c>
      <c r="DM199" s="125" t="inlineStr">
        <is>
          <t>459</t>
        </is>
      </c>
      <c r="DN199" s="126" t="inlineStr">
        <is>
          <t>44</t>
        </is>
      </c>
      <c r="DO199" s="127" t="inlineStr">
        <is>
          <t>10,60%</t>
        </is>
      </c>
      <c r="DP199" s="128" t="inlineStr">
        <is>
          <t/>
        </is>
      </c>
      <c r="DQ199" s="129" t="inlineStr">
        <is>
          <t/>
        </is>
      </c>
      <c r="DR199" s="130" t="inlineStr">
        <is>
          <t/>
        </is>
      </c>
      <c r="DS199" s="131" t="inlineStr">
        <is>
          <t>577</t>
        </is>
      </c>
      <c r="DT199" s="132" t="inlineStr">
        <is>
          <t>-32</t>
        </is>
      </c>
      <c r="DU199" s="133" t="inlineStr">
        <is>
          <t>-5,25%</t>
        </is>
      </c>
      <c r="DV199" s="134" t="inlineStr">
        <is>
          <t>5.263</t>
        </is>
      </c>
      <c r="DW199" s="135" t="inlineStr">
        <is>
          <t>5</t>
        </is>
      </c>
      <c r="DX199" s="136" t="inlineStr">
        <is>
          <t>0,10%</t>
        </is>
      </c>
      <c r="DY199" s="137" t="inlineStr">
        <is>
          <t>PitchBook Research</t>
        </is>
      </c>
      <c r="DZ199" s="785">
        <f>HYPERLINK("https://my.pitchbook.com?c=175368-97", "View company online")</f>
      </c>
    </row>
    <row r="200">
      <c r="A200" s="139" t="inlineStr">
        <is>
          <t>88772-59</t>
        </is>
      </c>
      <c r="B200" s="140" t="inlineStr">
        <is>
          <t>RavenPack</t>
        </is>
      </c>
      <c r="C200" s="141" t="inlineStr">
        <is>
          <t/>
        </is>
      </c>
      <c r="D200" s="142" t="inlineStr">
        <is>
          <t/>
        </is>
      </c>
      <c r="E200" s="143" t="inlineStr">
        <is>
          <t>88772-59</t>
        </is>
      </c>
      <c r="F200" s="144" t="inlineStr">
        <is>
          <t>Provider of big data analytics services designed to conduct financial analysis. The company's big data analytics services facilitates in conversion of unstructured content into structured data helping in easier analysis and deployment in financial applications enabling clients to enhance returns, reduce risk or increase efficiency by systematically incorporating the effects of public information in their models or workflows..</t>
        </is>
      </c>
      <c r="G200" s="145" t="inlineStr">
        <is>
          <t>Information Technology</t>
        </is>
      </c>
      <c r="H200" s="146" t="inlineStr">
        <is>
          <t>Software</t>
        </is>
      </c>
      <c r="I200" s="147" t="inlineStr">
        <is>
          <t>Application Software</t>
        </is>
      </c>
      <c r="J200" s="148" t="inlineStr">
        <is>
          <t>Application Software*; Business/Productivity Software; Financial Software</t>
        </is>
      </c>
      <c r="K200" s="149" t="inlineStr">
        <is>
          <t>Big Data</t>
        </is>
      </c>
      <c r="L200" s="150" t="inlineStr">
        <is>
          <t>Venture Capital-Backed</t>
        </is>
      </c>
      <c r="M200" s="151" t="n">
        <v>4.68</v>
      </c>
      <c r="N200" s="152" t="inlineStr">
        <is>
          <t>Generating Revenue</t>
        </is>
      </c>
      <c r="O200" s="153" t="inlineStr">
        <is>
          <t>Privately Held (backing)</t>
        </is>
      </c>
      <c r="P200" s="154" t="inlineStr">
        <is>
          <t>Venture Capital</t>
        </is>
      </c>
      <c r="Q200" s="155" t="inlineStr">
        <is>
          <t>www.ravenpack.com</t>
        </is>
      </c>
      <c r="R200" s="156" t="inlineStr">
        <is>
          <t/>
        </is>
      </c>
      <c r="S200" s="157" t="inlineStr">
        <is>
          <t/>
        </is>
      </c>
      <c r="T200" s="158" t="inlineStr">
        <is>
          <t/>
        </is>
      </c>
      <c r="U200" s="159" t="n">
        <v>2003.0</v>
      </c>
      <c r="V200" s="160" t="inlineStr">
        <is>
          <t/>
        </is>
      </c>
      <c r="W200" s="161" t="inlineStr">
        <is>
          <t/>
        </is>
      </c>
      <c r="X200" s="162" t="inlineStr">
        <is>
          <t/>
        </is>
      </c>
      <c r="Y200" s="163" t="inlineStr">
        <is>
          <t/>
        </is>
      </c>
      <c r="Z200" s="164" t="inlineStr">
        <is>
          <t/>
        </is>
      </c>
      <c r="AA200" s="165" t="inlineStr">
        <is>
          <t/>
        </is>
      </c>
      <c r="AB200" s="166" t="inlineStr">
        <is>
          <t/>
        </is>
      </c>
      <c r="AC200" s="167" t="inlineStr">
        <is>
          <t/>
        </is>
      </c>
      <c r="AD200" s="168" t="inlineStr">
        <is>
          <t/>
        </is>
      </c>
      <c r="AE200" s="169" t="inlineStr">
        <is>
          <t>81920-89P</t>
        </is>
      </c>
      <c r="AF200" s="170" t="inlineStr">
        <is>
          <t>Armando Gonzalez</t>
        </is>
      </c>
      <c r="AG200" s="171" t="inlineStr">
        <is>
          <t>Chief Executive Officer &amp; President</t>
        </is>
      </c>
      <c r="AH200" s="172" t="inlineStr">
        <is>
          <t>agonzalez@ravenpack.com</t>
        </is>
      </c>
      <c r="AI200" s="173" t="inlineStr">
        <is>
          <t>+34 95 290 7390</t>
        </is>
      </c>
      <c r="AJ200" s="174" t="inlineStr">
        <is>
          <t>Cádiz, Spain</t>
        </is>
      </c>
      <c r="AK200" s="175" t="inlineStr">
        <is>
          <t>Centro Negocios Oasis, Urbanización Villaparra</t>
        </is>
      </c>
      <c r="AL200" s="176" t="inlineStr">
        <is>
          <t/>
        </is>
      </c>
      <c r="AM200" s="177" t="inlineStr">
        <is>
          <t>Cádiz</t>
        </is>
      </c>
      <c r="AN200" s="178" t="inlineStr">
        <is>
          <t/>
        </is>
      </c>
      <c r="AO200" s="179" t="inlineStr">
        <is>
          <t>29002</t>
        </is>
      </c>
      <c r="AP200" s="180" t="inlineStr">
        <is>
          <t>Spain</t>
        </is>
      </c>
      <c r="AQ200" s="181" t="inlineStr">
        <is>
          <t>+34 95 290 7390</t>
        </is>
      </c>
      <c r="AR200" s="182" t="inlineStr">
        <is>
          <t/>
        </is>
      </c>
      <c r="AS200" s="183" t="inlineStr">
        <is>
          <t/>
        </is>
      </c>
      <c r="AT200" s="184" t="inlineStr">
        <is>
          <t>Europe</t>
        </is>
      </c>
      <c r="AU200" s="185" t="inlineStr">
        <is>
          <t>Southern Europe</t>
        </is>
      </c>
      <c r="AV200" s="186" t="inlineStr">
        <is>
          <t>The company raised $5 million of venture funding from Draper Esprit (ESM: GRW) on March 21, 2017. The money raised will fast-track RavenPack's mission to transform the way investors gain insights from unstructured data.</t>
        </is>
      </c>
      <c r="AW200" s="187" t="inlineStr">
        <is>
          <t>Draper Esprit</t>
        </is>
      </c>
      <c r="AX200" s="188" t="n">
        <v>1.0</v>
      </c>
      <c r="AY200" s="189" t="inlineStr">
        <is>
          <t/>
        </is>
      </c>
      <c r="AZ200" s="190" t="inlineStr">
        <is>
          <t/>
        </is>
      </c>
      <c r="BA200" s="191" t="inlineStr">
        <is>
          <t/>
        </is>
      </c>
      <c r="BB200" s="192" t="inlineStr">
        <is>
          <t>Draper Esprit (www.draperesprit.com)</t>
        </is>
      </c>
      <c r="BC200" s="193" t="inlineStr">
        <is>
          <t/>
        </is>
      </c>
      <c r="BD200" s="194" t="inlineStr">
        <is>
          <t/>
        </is>
      </c>
      <c r="BE200" s="195" t="inlineStr">
        <is>
          <t>BackBay Communications (Consulting)</t>
        </is>
      </c>
      <c r="BF200" s="196" t="inlineStr">
        <is>
          <t>EOC Partners (Advisor: General)</t>
        </is>
      </c>
      <c r="BG200" s="197" t="n">
        <v>42815.0</v>
      </c>
      <c r="BH200" s="198" t="n">
        <v>4.68</v>
      </c>
      <c r="BI200" s="199" t="inlineStr">
        <is>
          <t>Actual</t>
        </is>
      </c>
      <c r="BJ200" s="200" t="inlineStr">
        <is>
          <t/>
        </is>
      </c>
      <c r="BK200" s="201" t="inlineStr">
        <is>
          <t/>
        </is>
      </c>
      <c r="BL200" s="202" t="inlineStr">
        <is>
          <t>Later Stage VC</t>
        </is>
      </c>
      <c r="BM200" s="203" t="inlineStr">
        <is>
          <t/>
        </is>
      </c>
      <c r="BN200" s="204" t="inlineStr">
        <is>
          <t/>
        </is>
      </c>
      <c r="BO200" s="205" t="inlineStr">
        <is>
          <t>Venture Capital</t>
        </is>
      </c>
      <c r="BP200" s="206" t="inlineStr">
        <is>
          <t/>
        </is>
      </c>
      <c r="BQ200" s="207" t="inlineStr">
        <is>
          <t/>
        </is>
      </c>
      <c r="BR200" s="208" t="inlineStr">
        <is>
          <t/>
        </is>
      </c>
      <c r="BS200" s="209" t="inlineStr">
        <is>
          <t>Completed</t>
        </is>
      </c>
      <c r="BT200" s="210" t="n">
        <v>42815.0</v>
      </c>
      <c r="BU200" s="211" t="n">
        <v>4.68</v>
      </c>
      <c r="BV200" s="212" t="inlineStr">
        <is>
          <t>Actual</t>
        </is>
      </c>
      <c r="BW200" s="213" t="inlineStr">
        <is>
          <t/>
        </is>
      </c>
      <c r="BX200" s="214" t="inlineStr">
        <is>
          <t/>
        </is>
      </c>
      <c r="BY200" s="215" t="inlineStr">
        <is>
          <t>Later Stage VC</t>
        </is>
      </c>
      <c r="BZ200" s="216" t="inlineStr">
        <is>
          <t/>
        </is>
      </c>
      <c r="CA200" s="217" t="inlineStr">
        <is>
          <t/>
        </is>
      </c>
      <c r="CB200" s="218" t="inlineStr">
        <is>
          <t>Venture Capital</t>
        </is>
      </c>
      <c r="CC200" s="219" t="inlineStr">
        <is>
          <t/>
        </is>
      </c>
      <c r="CD200" s="220" t="inlineStr">
        <is>
          <t/>
        </is>
      </c>
      <c r="CE200" s="221" t="inlineStr">
        <is>
          <t/>
        </is>
      </c>
      <c r="CF200" s="222" t="inlineStr">
        <is>
          <t>Completed</t>
        </is>
      </c>
      <c r="CG200" s="223" t="inlineStr">
        <is>
          <t>-0,86%</t>
        </is>
      </c>
      <c r="CH200" s="224" t="inlineStr">
        <is>
          <t>15</t>
        </is>
      </c>
      <c r="CI200" s="225" t="inlineStr">
        <is>
          <t>-0,05%</t>
        </is>
      </c>
      <c r="CJ200" s="226" t="inlineStr">
        <is>
          <t>-6,73%</t>
        </is>
      </c>
      <c r="CK200" s="227" t="inlineStr">
        <is>
          <t>-2,34%</t>
        </is>
      </c>
      <c r="CL200" s="228" t="inlineStr">
        <is>
          <t>13</t>
        </is>
      </c>
      <c r="CM200" s="229" t="inlineStr">
        <is>
          <t>0,61%</t>
        </is>
      </c>
      <c r="CN200" s="230" t="inlineStr">
        <is>
          <t>91</t>
        </is>
      </c>
      <c r="CO200" s="231" t="inlineStr">
        <is>
          <t>-3,93%</t>
        </is>
      </c>
      <c r="CP200" s="232" t="inlineStr">
        <is>
          <t>24</t>
        </is>
      </c>
      <c r="CQ200" s="233" t="inlineStr">
        <is>
          <t>-0,74%</t>
        </is>
      </c>
      <c r="CR200" s="234" t="inlineStr">
        <is>
          <t>13</t>
        </is>
      </c>
      <c r="CS200" s="235" t="inlineStr">
        <is>
          <t/>
        </is>
      </c>
      <c r="CT200" s="236" t="inlineStr">
        <is>
          <t/>
        </is>
      </c>
      <c r="CU200" s="237" t="inlineStr">
        <is>
          <t>0,61%</t>
        </is>
      </c>
      <c r="CV200" s="238" t="inlineStr">
        <is>
          <t>93</t>
        </is>
      </c>
      <c r="CW200" s="239" t="inlineStr">
        <is>
          <t>4,28x</t>
        </is>
      </c>
      <c r="CX200" s="240" t="inlineStr">
        <is>
          <t>78</t>
        </is>
      </c>
      <c r="CY200" s="241" t="inlineStr">
        <is>
          <t>0,00x</t>
        </is>
      </c>
      <c r="CZ200" s="242" t="inlineStr">
        <is>
          <t>0,02%</t>
        </is>
      </c>
      <c r="DA200" s="243" t="inlineStr">
        <is>
          <t>5,90x</t>
        </is>
      </c>
      <c r="DB200" s="244" t="inlineStr">
        <is>
          <t>83</t>
        </is>
      </c>
      <c r="DC200" s="245" t="inlineStr">
        <is>
          <t>2,66x</t>
        </is>
      </c>
      <c r="DD200" s="246" t="inlineStr">
        <is>
          <t>67</t>
        </is>
      </c>
      <c r="DE200" s="247" t="inlineStr">
        <is>
          <t>6,33x</t>
        </is>
      </c>
      <c r="DF200" s="248" t="inlineStr">
        <is>
          <t>83</t>
        </is>
      </c>
      <c r="DG200" s="249" t="inlineStr">
        <is>
          <t>5,47x</t>
        </is>
      </c>
      <c r="DH200" s="250" t="inlineStr">
        <is>
          <t>80</t>
        </is>
      </c>
      <c r="DI200" s="251" t="inlineStr">
        <is>
          <t/>
        </is>
      </c>
      <c r="DJ200" s="252" t="inlineStr">
        <is>
          <t/>
        </is>
      </c>
      <c r="DK200" s="253" t="inlineStr">
        <is>
          <t>2,66x</t>
        </is>
      </c>
      <c r="DL200" s="254" t="inlineStr">
        <is>
          <t>69</t>
        </is>
      </c>
      <c r="DM200" s="255" t="inlineStr">
        <is>
          <t>2.346</t>
        </is>
      </c>
      <c r="DN200" s="256" t="inlineStr">
        <is>
          <t>9</t>
        </is>
      </c>
      <c r="DO200" s="257" t="inlineStr">
        <is>
          <t>0,39%</t>
        </is>
      </c>
      <c r="DP200" s="258" t="inlineStr">
        <is>
          <t/>
        </is>
      </c>
      <c r="DQ200" s="259" t="inlineStr">
        <is>
          <t/>
        </is>
      </c>
      <c r="DR200" s="260" t="inlineStr">
        <is>
          <t/>
        </is>
      </c>
      <c r="DS200" s="261" t="inlineStr">
        <is>
          <t>196</t>
        </is>
      </c>
      <c r="DT200" s="262" t="inlineStr">
        <is>
          <t>-1</t>
        </is>
      </c>
      <c r="DU200" s="263" t="inlineStr">
        <is>
          <t>-0,51%</t>
        </is>
      </c>
      <c r="DV200" s="264" t="inlineStr">
        <is>
          <t>993</t>
        </is>
      </c>
      <c r="DW200" s="265" t="inlineStr">
        <is>
          <t>10</t>
        </is>
      </c>
      <c r="DX200" s="266" t="inlineStr">
        <is>
          <t>1,02%</t>
        </is>
      </c>
      <c r="DY200" s="267" t="inlineStr">
        <is>
          <t>PitchBook Research</t>
        </is>
      </c>
      <c r="DZ200" s="786">
        <f>HYPERLINK("https://my.pitchbook.com?c=88772-59", "View company online")</f>
      </c>
    </row>
    <row r="201">
      <c r="A201" s="9" t="inlineStr">
        <is>
          <t>63245-98</t>
        </is>
      </c>
      <c r="B201" s="10" t="inlineStr">
        <is>
          <t>Epidemic Sound</t>
        </is>
      </c>
      <c r="C201" s="11" t="inlineStr">
        <is>
          <t/>
        </is>
      </c>
      <c r="D201" s="12" t="inlineStr">
        <is>
          <t>Epidemic</t>
        </is>
      </c>
      <c r="E201" s="13" t="inlineStr">
        <is>
          <t>63245-98</t>
        </is>
      </c>
      <c r="F201" s="14" t="inlineStr">
        <is>
          <t>Developer of a royalty free music library to provide cutting edge production music for films, TV and YouTube content. The company's cloud based library offers a catalog of music tracks from different genres and allows visual content creators to use professional-quality soundtracks in any country, on any platform and for a fee, enabling them to make professional-quality soundtracks and make a living making music.</t>
        </is>
      </c>
      <c r="G201" s="15" t="inlineStr">
        <is>
          <t>Information Technology</t>
        </is>
      </c>
      <c r="H201" s="16" t="inlineStr">
        <is>
          <t>Software</t>
        </is>
      </c>
      <c r="I201" s="17" t="inlineStr">
        <is>
          <t>Social/Platform Software</t>
        </is>
      </c>
      <c r="J201" s="18" t="inlineStr">
        <is>
          <t>Social/Platform Software*; Movies, Music and Entertainment; Application Software</t>
        </is>
      </c>
      <c r="K201" s="19" t="inlineStr">
        <is>
          <t>SaaS</t>
        </is>
      </c>
      <c r="L201" s="20" t="inlineStr">
        <is>
          <t>Private Equity-Backed</t>
        </is>
      </c>
      <c r="M201" s="21" t="n">
        <v>4.68</v>
      </c>
      <c r="N201" s="22" t="inlineStr">
        <is>
          <t>Generating Revenue/Not Profitable</t>
        </is>
      </c>
      <c r="O201" s="23" t="inlineStr">
        <is>
          <t>Privately Held (backing)</t>
        </is>
      </c>
      <c r="P201" s="24" t="inlineStr">
        <is>
          <t>Venture Capital, Private Equity</t>
        </is>
      </c>
      <c r="Q201" s="25" t="inlineStr">
        <is>
          <t>www.epidemicsound.com</t>
        </is>
      </c>
      <c r="R201" s="26" t="n">
        <v>80.0</v>
      </c>
      <c r="S201" s="27" t="inlineStr">
        <is>
          <t/>
        </is>
      </c>
      <c r="T201" s="28" t="inlineStr">
        <is>
          <t/>
        </is>
      </c>
      <c r="U201" s="29" t="n">
        <v>2009.0</v>
      </c>
      <c r="V201" s="30" t="inlineStr">
        <is>
          <t/>
        </is>
      </c>
      <c r="W201" s="31" t="inlineStr">
        <is>
          <t/>
        </is>
      </c>
      <c r="X201" s="32" t="inlineStr">
        <is>
          <r>
            <rPr>
              <b/>
              <color rgb="ff26854d"/>
              <rFont val="Arial"/>
              <sz val="8.0"/>
            </rPr>
            <t>Competitor</t>
          </r>
          <r>
            <rPr>
              <color rgb="ff707070"/>
              <rFont val="Arial"/>
              <sz val="7.0"/>
            </rPr>
            <t xml:space="preserve"> NEW  </t>
          </r>
          <r>
            <rPr>
              <color rgb="ff000000"/>
              <rFont val="Arial"/>
              <sz val="8.0"/>
            </rPr>
            <t>Outbreak</t>
          </r>
        </is>
      </c>
      <c r="Y201" s="33" t="n">
        <v>9.87372</v>
      </c>
      <c r="Z201" s="34" t="inlineStr">
        <is>
          <t/>
        </is>
      </c>
      <c r="AA201" s="35" t="inlineStr">
        <is>
          <t/>
        </is>
      </c>
      <c r="AB201" s="36" t="inlineStr">
        <is>
          <t/>
        </is>
      </c>
      <c r="AC201" s="37" t="inlineStr">
        <is>
          <t/>
        </is>
      </c>
      <c r="AD201" s="38" t="inlineStr">
        <is>
          <t>FY 2017</t>
        </is>
      </c>
      <c r="AE201" s="39" t="inlineStr">
        <is>
          <t>67594-42P</t>
        </is>
      </c>
      <c r="AF201" s="40" t="inlineStr">
        <is>
          <t>Oscar Hoglund</t>
        </is>
      </c>
      <c r="AG201" s="41" t="inlineStr">
        <is>
          <t>Co-Founder &amp; Chief Executive Officer</t>
        </is>
      </c>
      <c r="AH201" s="42" t="inlineStr">
        <is>
          <t>oscar@epidemicsound.com</t>
        </is>
      </c>
      <c r="AI201" s="43" t="inlineStr">
        <is>
          <t>+46 (0)70 43 12 13 0</t>
        </is>
      </c>
      <c r="AJ201" s="44" t="inlineStr">
        <is>
          <t>Stockholm, Sweden</t>
        </is>
      </c>
      <c r="AK201" s="45" t="inlineStr">
        <is>
          <t>Åsögatan 121</t>
        </is>
      </c>
      <c r="AL201" s="46" t="inlineStr">
        <is>
          <t/>
        </is>
      </c>
      <c r="AM201" s="47" t="inlineStr">
        <is>
          <t>Stockholm</t>
        </is>
      </c>
      <c r="AN201" s="48" t="inlineStr">
        <is>
          <t/>
        </is>
      </c>
      <c r="AO201" s="49" t="inlineStr">
        <is>
          <t>116 24</t>
        </is>
      </c>
      <c r="AP201" s="50" t="inlineStr">
        <is>
          <t>Sweden</t>
        </is>
      </c>
      <c r="AQ201" s="51" t="inlineStr">
        <is>
          <t/>
        </is>
      </c>
      <c r="AR201" s="52" t="inlineStr">
        <is>
          <t/>
        </is>
      </c>
      <c r="AS201" s="53" t="inlineStr">
        <is>
          <t>hello@epidemicsound.com</t>
        </is>
      </c>
      <c r="AT201" s="54" t="inlineStr">
        <is>
          <t>Europe</t>
        </is>
      </c>
      <c r="AU201" s="55" t="inlineStr">
        <is>
          <t>Northern Europe</t>
        </is>
      </c>
      <c r="AV201" s="56" t="inlineStr">
        <is>
          <t>The company was acquired by Creandum and EQT Partners through an LBO on November 21, 2017 for an undisclosed amount. The deal will support the company's growth ambitions by leveraging on EQT's global footprint, experience in scaling high-growth businesses as well as digital expertise. Following the investment, the approximate ownership split is the EQT Mid Market fund 40%, the company's founders 40% and Creandum 20%.</t>
        </is>
      </c>
      <c r="AW201" s="57" t="inlineStr">
        <is>
          <t>Creandum, EQT Partners</t>
        </is>
      </c>
      <c r="AX201" s="58" t="n">
        <v>2.0</v>
      </c>
      <c r="AY201" s="59" t="inlineStr">
        <is>
          <t/>
        </is>
      </c>
      <c r="AZ201" s="60" t="inlineStr">
        <is>
          <t>Kichi Invest</t>
        </is>
      </c>
      <c r="BA201" s="61" t="inlineStr">
        <is>
          <t/>
        </is>
      </c>
      <c r="BB201" s="62" t="inlineStr">
        <is>
          <t>Creandum (www.creandum.com), EQT Partners (www.eqt.se)</t>
        </is>
      </c>
      <c r="BC201" s="63" t="inlineStr">
        <is>
          <t>Kichi Invest (www.kichiinvest.se)</t>
        </is>
      </c>
      <c r="BD201" s="64" t="inlineStr">
        <is>
          <t/>
        </is>
      </c>
      <c r="BE201" s="65" t="inlineStr">
        <is>
          <t/>
        </is>
      </c>
      <c r="BF201" s="66" t="inlineStr">
        <is>
          <t/>
        </is>
      </c>
      <c r="BG201" s="67" t="n">
        <v>41778.0</v>
      </c>
      <c r="BH201" s="68" t="n">
        <v>3.64</v>
      </c>
      <c r="BI201" s="69" t="inlineStr">
        <is>
          <t>Actual</t>
        </is>
      </c>
      <c r="BJ201" s="70" t="n">
        <v>14.55</v>
      </c>
      <c r="BK201" s="71" t="inlineStr">
        <is>
          <t>Actual</t>
        </is>
      </c>
      <c r="BL201" s="72" t="inlineStr">
        <is>
          <t>Early Stage VC</t>
        </is>
      </c>
      <c r="BM201" s="73" t="inlineStr">
        <is>
          <t>Series A</t>
        </is>
      </c>
      <c r="BN201" s="74" t="inlineStr">
        <is>
          <t/>
        </is>
      </c>
      <c r="BO201" s="75" t="inlineStr">
        <is>
          <t>Venture Capital</t>
        </is>
      </c>
      <c r="BP201" s="76" t="inlineStr">
        <is>
          <t/>
        </is>
      </c>
      <c r="BQ201" s="77" t="inlineStr">
        <is>
          <t/>
        </is>
      </c>
      <c r="BR201" s="78" t="inlineStr">
        <is>
          <t/>
        </is>
      </c>
      <c r="BS201" s="79" t="inlineStr">
        <is>
          <t>Completed</t>
        </is>
      </c>
      <c r="BT201" s="80" t="n">
        <v>43060.0</v>
      </c>
      <c r="BU201" s="81" t="inlineStr">
        <is>
          <t/>
        </is>
      </c>
      <c r="BV201" s="82" t="inlineStr">
        <is>
          <t/>
        </is>
      </c>
      <c r="BW201" s="83" t="inlineStr">
        <is>
          <t/>
        </is>
      </c>
      <c r="BX201" s="84" t="inlineStr">
        <is>
          <t/>
        </is>
      </c>
      <c r="BY201" s="85" t="inlineStr">
        <is>
          <t>Buyout/LBO</t>
        </is>
      </c>
      <c r="BZ201" s="86" t="inlineStr">
        <is>
          <t/>
        </is>
      </c>
      <c r="CA201" s="87" t="inlineStr">
        <is>
          <t/>
        </is>
      </c>
      <c r="CB201" s="88" t="inlineStr">
        <is>
          <t>Private Equity</t>
        </is>
      </c>
      <c r="CC201" s="89" t="inlineStr">
        <is>
          <t/>
        </is>
      </c>
      <c r="CD201" s="90" t="inlineStr">
        <is>
          <t/>
        </is>
      </c>
      <c r="CE201" s="91" t="inlineStr">
        <is>
          <t/>
        </is>
      </c>
      <c r="CF201" s="92" t="inlineStr">
        <is>
          <t>Completed</t>
        </is>
      </c>
      <c r="CG201" s="93" t="inlineStr">
        <is>
          <t>-2,73%</t>
        </is>
      </c>
      <c r="CH201" s="94" t="inlineStr">
        <is>
          <t>7</t>
        </is>
      </c>
      <c r="CI201" s="95" t="inlineStr">
        <is>
          <t>0,03%</t>
        </is>
      </c>
      <c r="CJ201" s="96" t="inlineStr">
        <is>
          <t>1,26%</t>
        </is>
      </c>
      <c r="CK201" s="97" t="inlineStr">
        <is>
          <t>-6,21%</t>
        </is>
      </c>
      <c r="CL201" s="98" t="inlineStr">
        <is>
          <t>6</t>
        </is>
      </c>
      <c r="CM201" s="99" t="inlineStr">
        <is>
          <t>0,75%</t>
        </is>
      </c>
      <c r="CN201" s="100" t="inlineStr">
        <is>
          <t>94</t>
        </is>
      </c>
      <c r="CO201" s="101" t="inlineStr">
        <is>
          <t>-15,46%</t>
        </is>
      </c>
      <c r="CP201" s="102" t="inlineStr">
        <is>
          <t>8</t>
        </is>
      </c>
      <c r="CQ201" s="103" t="inlineStr">
        <is>
          <t>3,03%</t>
        </is>
      </c>
      <c r="CR201" s="104" t="inlineStr">
        <is>
          <t>97</t>
        </is>
      </c>
      <c r="CS201" s="105" t="inlineStr">
        <is>
          <t>0,69%</t>
        </is>
      </c>
      <c r="CT201" s="106" t="inlineStr">
        <is>
          <t>91</t>
        </is>
      </c>
      <c r="CU201" s="107" t="inlineStr">
        <is>
          <t>0,82%</t>
        </is>
      </c>
      <c r="CV201" s="108" t="inlineStr">
        <is>
          <t>95</t>
        </is>
      </c>
      <c r="CW201" s="109" t="inlineStr">
        <is>
          <t>93,71x</t>
        </is>
      </c>
      <c r="CX201" s="110" t="inlineStr">
        <is>
          <t>98</t>
        </is>
      </c>
      <c r="CY201" s="111" t="inlineStr">
        <is>
          <t>0,24x</t>
        </is>
      </c>
      <c r="CZ201" s="112" t="inlineStr">
        <is>
          <t>0,26%</t>
        </is>
      </c>
      <c r="DA201" s="113" t="inlineStr">
        <is>
          <t>174,83x</t>
        </is>
      </c>
      <c r="DB201" s="114" t="inlineStr">
        <is>
          <t>99</t>
        </is>
      </c>
      <c r="DC201" s="115" t="inlineStr">
        <is>
          <t>12,59x</t>
        </is>
      </c>
      <c r="DD201" s="116" t="inlineStr">
        <is>
          <t>86</t>
        </is>
      </c>
      <c r="DE201" s="117" t="inlineStr">
        <is>
          <t>312,20x</t>
        </is>
      </c>
      <c r="DF201" s="118" t="inlineStr">
        <is>
          <t>99</t>
        </is>
      </c>
      <c r="DG201" s="119" t="inlineStr">
        <is>
          <t>37,47x</t>
        </is>
      </c>
      <c r="DH201" s="120" t="inlineStr">
        <is>
          <t>96</t>
        </is>
      </c>
      <c r="DI201" s="121" t="inlineStr">
        <is>
          <t>11,89x</t>
        </is>
      </c>
      <c r="DJ201" s="122" t="inlineStr">
        <is>
          <t>83</t>
        </is>
      </c>
      <c r="DK201" s="123" t="inlineStr">
        <is>
          <t>13,28x</t>
        </is>
      </c>
      <c r="DL201" s="124" t="inlineStr">
        <is>
          <t>89</t>
        </is>
      </c>
      <c r="DM201" s="125" t="inlineStr">
        <is>
          <t>115.883</t>
        </is>
      </c>
      <c r="DN201" s="126" t="inlineStr">
        <is>
          <t>-290</t>
        </is>
      </c>
      <c r="DO201" s="127" t="inlineStr">
        <is>
          <t>-0,25%</t>
        </is>
      </c>
      <c r="DP201" s="128" t="inlineStr">
        <is>
          <t>9.397</t>
        </is>
      </c>
      <c r="DQ201" s="129" t="inlineStr">
        <is>
          <t>76</t>
        </is>
      </c>
      <c r="DR201" s="130" t="inlineStr">
        <is>
          <t>0,82%</t>
        </is>
      </c>
      <c r="DS201" s="131" t="inlineStr">
        <is>
          <t>1.333</t>
        </is>
      </c>
      <c r="DT201" s="132" t="inlineStr">
        <is>
          <t>35</t>
        </is>
      </c>
      <c r="DU201" s="133" t="inlineStr">
        <is>
          <t>2,70%</t>
        </is>
      </c>
      <c r="DV201" s="134" t="inlineStr">
        <is>
          <t>4.951</t>
        </is>
      </c>
      <c r="DW201" s="135" t="inlineStr">
        <is>
          <t>42</t>
        </is>
      </c>
      <c r="DX201" s="136" t="inlineStr">
        <is>
          <t>0,86%</t>
        </is>
      </c>
      <c r="DY201" s="137" t="inlineStr">
        <is>
          <t>PitchBook Research</t>
        </is>
      </c>
      <c r="DZ201" s="785">
        <f>HYPERLINK("https://my.pitchbook.com?c=63245-98", "View company online")</f>
      </c>
    </row>
    <row r="204">
      <c r="A204" s="787" t="inlineStr">
        <is>
          <t>© PitchBook Data, Inc. 2017</t>
        </is>
      </c>
    </row>
  </sheetData>
  <mergeCells count="1">
    <mergeCell ref="B4:D6"/>
  </mergeCells>
  <pageMargins left="0.7" right="0.7" top="0.75" bottom="0.75" header="0.3" footer="0.3"/>
  <pageSetup paperSize="9" orientation="portrait" horizontalDpi="0" verticalDpi="0" r:id="rId1"/>
  <drawing r:id="rId2"/>
  <legacyDrawing r:id="rId4"/>
</worksheet>
</file>

<file path=xl/worksheets/sheet7.xml><?xml version="1.0" encoding="utf-8"?>
<worksheet xmlns="http://schemas.openxmlformats.org/spreadsheetml/2006/main">
  <dimension ref="A1"/>
  <sheetViews>
    <sheetView workbookViewId="0" showGridLines="false" tabSelected="false">
      <selection activeCell="A100" sqref="A100"/>
    </sheetView>
  </sheetViews>
  <sheetFormatPr defaultRowHeight="15.0"/>
  <cols>
    <col min="1" max="1" width="19.140625" customWidth="true"/>
    <col min="2" max="2" width="23.140625" customWidth="true"/>
    <col min="3" max="3" width="9.140625" customWidth="true"/>
    <col min="4" max="4" width="9.140625" customWidth="true"/>
    <col min="5" max="5" width="9.140625" customWidth="true"/>
    <col min="6" max="6" width="9.140625" customWidth="true"/>
    <col min="7" max="7" width="9.140625" customWidth="true"/>
    <col min="8" max="8" width="2.85546875" customWidth="true"/>
    <col min="9" max="9" width="26.42578125" customWidth="true"/>
  </cols>
  <sheetData>
    <row r="1">
      <c r="A1" t="s" s="788">
        <v>139</v>
      </c>
    </row>
    <row r="3">
      <c r="A3" t="s" s="789">
        <v>140</v>
      </c>
    </row>
    <row r="4">
      <c r="A4" t="s" s="797">
        <f>HYPERLINK("mailto:clientservices@pitchbook.com ", "clientservices@pitchbook.com ")</f>
      </c>
    </row>
    <row r="6">
      <c r="A6" t="s" s="791">
        <v>142</v>
      </c>
      <c r="B6" t="s" s="796">
        <f>HYPERLINK("http://www.pitchbook.com/agreement", "PitchBook User Agreement")</f>
      </c>
      <c r="C6" t="s" s="793">
        <v>144</v>
      </c>
    </row>
    <row r="8">
      <c r="A8" t="s" s="794">
        <v>145</v>
      </c>
      <c r="I8" t="s" s="798">
        <f>HYPERLINK("mailto:clientservices@pitchbook.com", "clientservices@pitchbook.com.")</f>
      </c>
    </row>
    <row r="10">
      <c r="A10" t="s" s="799">
        <v>147</v>
      </c>
    </row>
    <row r="21">
      <c r="A21"/>
    </row>
  </sheetData>
  <sheetProtection password="C9C1" sheet="true" scenarios="true" objects="tru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lastModifiedBy>PitchBook</lastModifiedBy>
  <dcterms:modified xsi:type="dcterms:W3CDTF">2012-10-16T07:15:39Z</dcterms:modified>
</coreProperties>
</file>